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24915" windowHeight="11895" tabRatio="697" firstSheet="8" activeTab="16"/>
  </bookViews>
  <sheets>
    <sheet name="Cumulative 18-19 Totals" sheetId="1" r:id="rId1"/>
    <sheet name="DPS 18-19" sheetId="10" r:id="rId2"/>
    <sheet name="TMD 18-19" sheetId="9" r:id="rId3"/>
    <sheet name="TMD Sup." sheetId="15" r:id="rId4"/>
    <sheet name="TPWD 18-19" sheetId="11" r:id="rId5"/>
    <sheet name="TDCJ 18-19" sheetId="7" r:id="rId6"/>
    <sheet name="TFC 18-19" sheetId="2" r:id="rId7"/>
    <sheet name="TxDOT 18-19" sheetId="12" r:id="rId8"/>
    <sheet name="TxDOT Space Needs" sheetId="16" r:id="rId9"/>
    <sheet name="TxDOT New Construction 18-19" sheetId="18" r:id="rId10"/>
    <sheet name="THC 18-19" sheetId="3" r:id="rId11"/>
    <sheet name="THC Sup." sheetId="14" r:id="rId12"/>
    <sheet name="SPB 18-19" sheetId="4" r:id="rId13"/>
    <sheet name="DSHS 18-19" sheetId="17" r:id="rId14"/>
    <sheet name="HHSC 18-19 State Hospitals " sheetId="13" r:id="rId15"/>
    <sheet name="HHSC 18-19 SSLC" sheetId="6" r:id="rId16"/>
    <sheet name="JJD 18-19" sheetId="8" r:id="rId17"/>
  </sheets>
  <externalReferences>
    <externalReference r:id="rId18"/>
  </externalReferences>
  <calcPr calcId="145621"/>
</workbook>
</file>

<file path=xl/calcChain.xml><?xml version="1.0" encoding="utf-8"?>
<calcChain xmlns="http://schemas.openxmlformats.org/spreadsheetml/2006/main">
  <c r="T25" i="18" l="1"/>
  <c r="S23" i="18"/>
  <c r="R23" i="18"/>
  <c r="M23" i="18"/>
  <c r="T22" i="18"/>
  <c r="N22" i="18"/>
  <c r="N21" i="18"/>
  <c r="T21" i="18" s="1"/>
  <c r="T20" i="18"/>
  <c r="N20" i="18"/>
  <c r="N19" i="18"/>
  <c r="T19" i="18" s="1"/>
  <c r="T18" i="18"/>
  <c r="N18" i="18"/>
  <c r="N17" i="18"/>
  <c r="T17" i="18" s="1"/>
  <c r="T16" i="18"/>
  <c r="N16" i="18"/>
  <c r="N15" i="18"/>
  <c r="T15" i="18" s="1"/>
  <c r="T14" i="18"/>
  <c r="N14" i="18"/>
  <c r="N13" i="18"/>
  <c r="T13" i="18" s="1"/>
  <c r="T12" i="18"/>
  <c r="N12" i="18"/>
  <c r="N11" i="18"/>
  <c r="T11" i="18" s="1"/>
  <c r="T10" i="18"/>
  <c r="N10" i="18"/>
  <c r="A10" i="18"/>
  <c r="A11" i="18" s="1"/>
  <c r="A12" i="18" s="1"/>
  <c r="A13" i="18" s="1"/>
  <c r="A14" i="18" s="1"/>
  <c r="A15" i="18" s="1"/>
  <c r="A16" i="18" s="1"/>
  <c r="A17" i="18" s="1"/>
  <c r="A18" i="18" s="1"/>
  <c r="A19" i="18" s="1"/>
  <c r="A20" i="18" s="1"/>
  <c r="A21" i="18" s="1"/>
  <c r="A22" i="18" s="1"/>
  <c r="N9" i="18"/>
  <c r="N23" i="18" s="1"/>
  <c r="A9" i="18"/>
  <c r="T8" i="18"/>
  <c r="N8" i="18"/>
  <c r="S190" i="12"/>
  <c r="R190" i="12"/>
  <c r="M190" i="12"/>
  <c r="T189" i="12"/>
  <c r="N189" i="12"/>
  <c r="T188" i="12"/>
  <c r="N188" i="12"/>
  <c r="N187" i="12"/>
  <c r="T187" i="12" s="1"/>
  <c r="T186" i="12"/>
  <c r="N186" i="12"/>
  <c r="N185" i="12"/>
  <c r="T185" i="12" s="1"/>
  <c r="T184" i="12"/>
  <c r="N184" i="12"/>
  <c r="N183" i="12"/>
  <c r="T183" i="12" s="1"/>
  <c r="T182" i="12"/>
  <c r="N182" i="12"/>
  <c r="N181" i="12"/>
  <c r="T181" i="12" s="1"/>
  <c r="T180" i="12"/>
  <c r="N180" i="12"/>
  <c r="N179" i="12"/>
  <c r="T179" i="12" s="1"/>
  <c r="T178" i="12"/>
  <c r="N178" i="12"/>
  <c r="N177" i="12"/>
  <c r="T177" i="12" s="1"/>
  <c r="T176" i="12"/>
  <c r="N176" i="12"/>
  <c r="N175" i="12"/>
  <c r="T175" i="12" s="1"/>
  <c r="T174" i="12"/>
  <c r="N174" i="12"/>
  <c r="N173" i="12"/>
  <c r="T173" i="12" s="1"/>
  <c r="T172" i="12"/>
  <c r="N172" i="12"/>
  <c r="N171" i="12"/>
  <c r="T171" i="12" s="1"/>
  <c r="T170" i="12"/>
  <c r="N170" i="12"/>
  <c r="N169" i="12"/>
  <c r="T169" i="12" s="1"/>
  <c r="T168" i="12"/>
  <c r="N168" i="12"/>
  <c r="N167" i="12"/>
  <c r="T167" i="12" s="1"/>
  <c r="T166" i="12"/>
  <c r="N166" i="12"/>
  <c r="N165" i="12"/>
  <c r="T165" i="12" s="1"/>
  <c r="T164" i="12"/>
  <c r="N164" i="12"/>
  <c r="N163" i="12"/>
  <c r="T163" i="12" s="1"/>
  <c r="T162" i="12"/>
  <c r="N162" i="12"/>
  <c r="N161" i="12"/>
  <c r="T161" i="12" s="1"/>
  <c r="T160" i="12"/>
  <c r="N160" i="12"/>
  <c r="N159" i="12"/>
  <c r="T159" i="12" s="1"/>
  <c r="T158" i="12"/>
  <c r="N158" i="12"/>
  <c r="N157" i="12"/>
  <c r="T157" i="12" s="1"/>
  <c r="T156" i="12"/>
  <c r="N156" i="12"/>
  <c r="N155" i="12"/>
  <c r="T155" i="12" s="1"/>
  <c r="T154" i="12"/>
  <c r="N154" i="12"/>
  <c r="N153" i="12"/>
  <c r="T153" i="12" s="1"/>
  <c r="T152" i="12"/>
  <c r="N152" i="12"/>
  <c r="N151" i="12"/>
  <c r="T151" i="12" s="1"/>
  <c r="T150" i="12"/>
  <c r="N150" i="12"/>
  <c r="N149" i="12"/>
  <c r="T149" i="12" s="1"/>
  <c r="T148" i="12"/>
  <c r="N148" i="12"/>
  <c r="N147" i="12"/>
  <c r="T147" i="12" s="1"/>
  <c r="T146" i="12"/>
  <c r="N146" i="12"/>
  <c r="N145" i="12"/>
  <c r="T145" i="12" s="1"/>
  <c r="T144" i="12"/>
  <c r="N144" i="12"/>
  <c r="N143" i="12"/>
  <c r="T143" i="12" s="1"/>
  <c r="T142" i="12"/>
  <c r="N142" i="12"/>
  <c r="N141" i="12"/>
  <c r="T141" i="12" s="1"/>
  <c r="T140" i="12"/>
  <c r="N140" i="12"/>
  <c r="N139" i="12"/>
  <c r="T139" i="12" s="1"/>
  <c r="T138" i="12"/>
  <c r="N138" i="12"/>
  <c r="N137" i="12"/>
  <c r="T137" i="12" s="1"/>
  <c r="T136" i="12"/>
  <c r="N136" i="12"/>
  <c r="N135" i="12"/>
  <c r="T135" i="12" s="1"/>
  <c r="T134" i="12"/>
  <c r="N134" i="12"/>
  <c r="N133" i="12"/>
  <c r="T133" i="12" s="1"/>
  <c r="T132" i="12"/>
  <c r="N132" i="12"/>
  <c r="N131" i="12"/>
  <c r="T131" i="12" s="1"/>
  <c r="T130" i="12"/>
  <c r="N130" i="12"/>
  <c r="N129" i="12"/>
  <c r="T129" i="12" s="1"/>
  <c r="T128" i="12"/>
  <c r="N128" i="12"/>
  <c r="N127" i="12"/>
  <c r="T127" i="12" s="1"/>
  <c r="T126" i="12"/>
  <c r="N126" i="12"/>
  <c r="N125" i="12"/>
  <c r="T125" i="12" s="1"/>
  <c r="T124" i="12"/>
  <c r="N124" i="12"/>
  <c r="N123" i="12"/>
  <c r="T123" i="12" s="1"/>
  <c r="T122" i="12"/>
  <c r="N122" i="12"/>
  <c r="N121" i="12"/>
  <c r="T121" i="12" s="1"/>
  <c r="T120" i="12"/>
  <c r="N120" i="12"/>
  <c r="N119" i="12"/>
  <c r="T119" i="12" s="1"/>
  <c r="T118" i="12"/>
  <c r="N118" i="12"/>
  <c r="N117" i="12"/>
  <c r="T117" i="12" s="1"/>
  <c r="T116" i="12"/>
  <c r="N116" i="12"/>
  <c r="N115" i="12"/>
  <c r="T115" i="12" s="1"/>
  <c r="T114" i="12"/>
  <c r="N114" i="12"/>
  <c r="N113" i="12"/>
  <c r="T113" i="12" s="1"/>
  <c r="T112" i="12"/>
  <c r="N112" i="12"/>
  <c r="N111" i="12"/>
  <c r="T111" i="12" s="1"/>
  <c r="T110" i="12"/>
  <c r="N110" i="12"/>
  <c r="N109" i="12"/>
  <c r="T109" i="12" s="1"/>
  <c r="T108" i="12"/>
  <c r="N108" i="12"/>
  <c r="N107" i="12"/>
  <c r="T107" i="12" s="1"/>
  <c r="T106" i="12"/>
  <c r="N106" i="12"/>
  <c r="N105" i="12"/>
  <c r="T105" i="12" s="1"/>
  <c r="N104" i="12"/>
  <c r="T104" i="12" s="1"/>
  <c r="T103" i="12"/>
  <c r="N103" i="12"/>
  <c r="N102" i="12"/>
  <c r="T102" i="12" s="1"/>
  <c r="T101" i="12"/>
  <c r="N101" i="12"/>
  <c r="N100" i="12"/>
  <c r="T100" i="12" s="1"/>
  <c r="T99" i="12"/>
  <c r="N99" i="12"/>
  <c r="N98" i="12"/>
  <c r="T98" i="12" s="1"/>
  <c r="T97" i="12"/>
  <c r="N97" i="12"/>
  <c r="N96" i="12"/>
  <c r="T96" i="12" s="1"/>
  <c r="T95" i="12"/>
  <c r="N95" i="12"/>
  <c r="N94" i="12"/>
  <c r="T94" i="12" s="1"/>
  <c r="T93" i="12"/>
  <c r="N93" i="12"/>
  <c r="N92" i="12"/>
  <c r="T92" i="12" s="1"/>
  <c r="T91" i="12"/>
  <c r="N91" i="12"/>
  <c r="N90" i="12"/>
  <c r="T90" i="12" s="1"/>
  <c r="T89" i="12"/>
  <c r="N89" i="12"/>
  <c r="N88" i="12"/>
  <c r="T88" i="12" s="1"/>
  <c r="T87" i="12"/>
  <c r="N87" i="12"/>
  <c r="N86" i="12"/>
  <c r="T86" i="12" s="1"/>
  <c r="T85" i="12"/>
  <c r="N85" i="12"/>
  <c r="N84" i="12"/>
  <c r="T84" i="12" s="1"/>
  <c r="T83" i="12"/>
  <c r="N83" i="12"/>
  <c r="N82" i="12"/>
  <c r="T82" i="12" s="1"/>
  <c r="T81" i="12"/>
  <c r="N81" i="12"/>
  <c r="N80" i="12"/>
  <c r="T80" i="12" s="1"/>
  <c r="T79" i="12"/>
  <c r="N79" i="12"/>
  <c r="N78" i="12"/>
  <c r="T78" i="12" s="1"/>
  <c r="T77" i="12"/>
  <c r="N77" i="12"/>
  <c r="N76" i="12"/>
  <c r="T76" i="12" s="1"/>
  <c r="T75" i="12"/>
  <c r="N75" i="12"/>
  <c r="N74" i="12"/>
  <c r="T74" i="12" s="1"/>
  <c r="T73" i="12"/>
  <c r="N73" i="12"/>
  <c r="N72" i="12"/>
  <c r="T72" i="12" s="1"/>
  <c r="T71" i="12"/>
  <c r="N71" i="12"/>
  <c r="N70" i="12"/>
  <c r="T70" i="12" s="1"/>
  <c r="T69" i="12"/>
  <c r="N69" i="12"/>
  <c r="N68" i="12"/>
  <c r="T68" i="12" s="1"/>
  <c r="T67" i="12"/>
  <c r="N67" i="12"/>
  <c r="N66" i="12"/>
  <c r="T66" i="12" s="1"/>
  <c r="T65" i="12"/>
  <c r="N65" i="12"/>
  <c r="N64" i="12"/>
  <c r="T64" i="12" s="1"/>
  <c r="T63" i="12"/>
  <c r="N63" i="12"/>
  <c r="N62" i="12"/>
  <c r="T62" i="12" s="1"/>
  <c r="T61" i="12"/>
  <c r="N61" i="12"/>
  <c r="N60" i="12"/>
  <c r="T60" i="12" s="1"/>
  <c r="T59" i="12"/>
  <c r="N59" i="12"/>
  <c r="N58" i="12"/>
  <c r="T58" i="12" s="1"/>
  <c r="T57" i="12"/>
  <c r="N57" i="12"/>
  <c r="N56" i="12"/>
  <c r="T56" i="12" s="1"/>
  <c r="T55" i="12"/>
  <c r="N55" i="12"/>
  <c r="N54" i="12"/>
  <c r="T54" i="12" s="1"/>
  <c r="T53" i="12"/>
  <c r="N53" i="12"/>
  <c r="N52" i="12"/>
  <c r="T52" i="12" s="1"/>
  <c r="T51" i="12"/>
  <c r="N51" i="12"/>
  <c r="N50" i="12"/>
  <c r="T50" i="12" s="1"/>
  <c r="T49" i="12"/>
  <c r="N49" i="12"/>
  <c r="N48" i="12"/>
  <c r="T48" i="12" s="1"/>
  <c r="T47" i="12"/>
  <c r="N47" i="12"/>
  <c r="N46" i="12"/>
  <c r="T46" i="12" s="1"/>
  <c r="T45" i="12"/>
  <c r="N45" i="12"/>
  <c r="N44" i="12"/>
  <c r="T44" i="12" s="1"/>
  <c r="T43" i="12"/>
  <c r="N43" i="12"/>
  <c r="N42" i="12"/>
  <c r="T42" i="12" s="1"/>
  <c r="T41" i="12"/>
  <c r="N41" i="12"/>
  <c r="N40" i="12"/>
  <c r="T40" i="12" s="1"/>
  <c r="T39" i="12"/>
  <c r="N39" i="12"/>
  <c r="N38" i="12"/>
  <c r="T38" i="12" s="1"/>
  <c r="T37" i="12"/>
  <c r="N37" i="12"/>
  <c r="N36" i="12"/>
  <c r="T36" i="12" s="1"/>
  <c r="T35" i="12"/>
  <c r="N35" i="12"/>
  <c r="N34" i="12"/>
  <c r="T34" i="12" s="1"/>
  <c r="T33" i="12"/>
  <c r="N33" i="12"/>
  <c r="N32" i="12"/>
  <c r="T32" i="12" s="1"/>
  <c r="T31" i="12"/>
  <c r="N31" i="12"/>
  <c r="N30" i="12"/>
  <c r="T30" i="12" s="1"/>
  <c r="T29" i="12"/>
  <c r="N29" i="12"/>
  <c r="N28" i="12"/>
  <c r="T28" i="12" s="1"/>
  <c r="T27" i="12"/>
  <c r="N27" i="12"/>
  <c r="N26" i="12"/>
  <c r="T26" i="12" s="1"/>
  <c r="T25" i="12"/>
  <c r="N25" i="12"/>
  <c r="N24" i="12"/>
  <c r="T24" i="12" s="1"/>
  <c r="T23" i="12"/>
  <c r="N23" i="12"/>
  <c r="N22" i="12"/>
  <c r="T22" i="12" s="1"/>
  <c r="T21" i="12"/>
  <c r="N21" i="12"/>
  <c r="N20" i="12"/>
  <c r="T20" i="12" s="1"/>
  <c r="T19" i="12"/>
  <c r="N19" i="12"/>
  <c r="N18" i="12"/>
  <c r="T18" i="12" s="1"/>
  <c r="T17" i="12"/>
  <c r="N17" i="12"/>
  <c r="N16" i="12"/>
  <c r="T16" i="12" s="1"/>
  <c r="T15" i="12"/>
  <c r="N15" i="12"/>
  <c r="A15" i="12"/>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4" i="12" s="1"/>
  <c r="A185" i="12" s="1"/>
  <c r="A186" i="12" s="1"/>
  <c r="A187" i="12" s="1"/>
  <c r="A188" i="12" s="1"/>
  <c r="N14" i="12"/>
  <c r="T14" i="12" s="1"/>
  <c r="N13" i="12"/>
  <c r="T13" i="12" s="1"/>
  <c r="N12" i="12"/>
  <c r="T12" i="12" s="1"/>
  <c r="N11" i="12"/>
  <c r="T11" i="12" s="1"/>
  <c r="N10" i="12"/>
  <c r="T10" i="12" s="1"/>
  <c r="N9" i="12"/>
  <c r="T9" i="12" s="1"/>
  <c r="N8" i="12"/>
  <c r="T23" i="18" l="1"/>
  <c r="T9" i="18"/>
  <c r="N190" i="12"/>
  <c r="T8" i="12"/>
  <c r="T190" i="12" s="1"/>
  <c r="L12" i="17" l="1"/>
  <c r="K12" i="17"/>
  <c r="G12" i="17"/>
  <c r="F12" i="17"/>
  <c r="M11" i="17"/>
  <c r="M10" i="17"/>
  <c r="M12" i="17" s="1"/>
  <c r="M9" i="17"/>
  <c r="F18" i="15" l="1"/>
  <c r="E18" i="15"/>
  <c r="C13" i="15"/>
  <c r="D13" i="15" s="1"/>
  <c r="G13" i="15" s="1"/>
  <c r="B13" i="15"/>
  <c r="D12" i="15"/>
  <c r="G12" i="15" s="1"/>
  <c r="C12" i="15"/>
  <c r="B12" i="15"/>
  <c r="D11" i="15"/>
  <c r="G11" i="15" s="1"/>
  <c r="C11" i="15"/>
  <c r="B11" i="15"/>
  <c r="D10" i="15"/>
  <c r="G10" i="15" s="1"/>
  <c r="C10" i="15"/>
  <c r="B10" i="15"/>
  <c r="D9" i="15"/>
  <c r="D18" i="15" s="1"/>
  <c r="C9" i="15"/>
  <c r="C18" i="15" s="1"/>
  <c r="B9" i="15"/>
  <c r="C2" i="15"/>
  <c r="J2" i="15" s="1"/>
  <c r="D20" i="15" l="1"/>
  <c r="D19" i="15"/>
  <c r="G9" i="15"/>
  <c r="G18" i="15" s="1"/>
  <c r="H16" i="1"/>
  <c r="H15" i="1"/>
  <c r="H14" i="1"/>
  <c r="H13" i="1"/>
  <c r="H12" i="1"/>
  <c r="H11" i="1"/>
  <c r="H10" i="1"/>
  <c r="H6" i="1"/>
  <c r="L17" i="9"/>
  <c r="K17" i="9"/>
  <c r="F17" i="9"/>
  <c r="G12" i="9"/>
  <c r="M12" i="9" s="1"/>
  <c r="G11" i="9"/>
  <c r="M11" i="9" s="1"/>
  <c r="G10" i="9"/>
  <c r="M10" i="9" s="1"/>
  <c r="G9" i="9"/>
  <c r="M9" i="9" s="1"/>
  <c r="G8" i="9"/>
  <c r="G17" i="9" s="1"/>
  <c r="C2" i="9"/>
  <c r="M2" i="9" s="1"/>
  <c r="M8" i="9" l="1"/>
  <c r="M17" i="9" s="1"/>
  <c r="L103" i="11"/>
  <c r="K103" i="11"/>
  <c r="G103" i="11"/>
  <c r="M103" i="11" s="1"/>
  <c r="F103" i="11"/>
  <c r="M102" i="11"/>
  <c r="G102" i="11"/>
  <c r="M101" i="11"/>
  <c r="G101" i="11"/>
  <c r="M100" i="11"/>
  <c r="G100" i="11"/>
  <c r="M99" i="11"/>
  <c r="G99" i="11"/>
  <c r="M98" i="11"/>
  <c r="G98" i="11"/>
  <c r="M97" i="11"/>
  <c r="G97" i="11"/>
  <c r="M96" i="11"/>
  <c r="G96" i="11"/>
  <c r="M95" i="11"/>
  <c r="G95" i="11"/>
  <c r="M94" i="11"/>
  <c r="G94" i="11"/>
  <c r="M93" i="11"/>
  <c r="G93" i="11"/>
  <c r="M92" i="11"/>
  <c r="G92" i="11"/>
  <c r="M91" i="11"/>
  <c r="G91" i="11"/>
  <c r="M90" i="11"/>
  <c r="G90" i="11"/>
  <c r="M89" i="11"/>
  <c r="G89" i="11"/>
  <c r="M88" i="11"/>
  <c r="G88" i="11"/>
  <c r="M87" i="11"/>
  <c r="G87" i="11"/>
  <c r="M86" i="11"/>
  <c r="G86" i="11"/>
  <c r="M85" i="11"/>
  <c r="G85" i="11"/>
  <c r="M84" i="11"/>
  <c r="G84" i="11"/>
  <c r="M83" i="11"/>
  <c r="G83" i="11"/>
  <c r="M82" i="11"/>
  <c r="G82" i="11"/>
  <c r="M81" i="11"/>
  <c r="G81" i="11"/>
  <c r="M80" i="11"/>
  <c r="G80" i="11"/>
  <c r="M79" i="11"/>
  <c r="G79" i="11"/>
  <c r="M78" i="11"/>
  <c r="G78" i="11"/>
  <c r="M77" i="11"/>
  <c r="G77" i="11"/>
  <c r="M76" i="11"/>
  <c r="G76" i="11"/>
  <c r="M75" i="11"/>
  <c r="G75" i="11"/>
  <c r="M74" i="11"/>
  <c r="G74" i="11"/>
  <c r="M73" i="11"/>
  <c r="G73" i="11"/>
  <c r="M72" i="11"/>
  <c r="G72" i="11"/>
  <c r="M71" i="11"/>
  <c r="G71" i="11"/>
  <c r="M70" i="11"/>
  <c r="G70" i="11"/>
  <c r="M69" i="11"/>
  <c r="G69" i="11"/>
  <c r="M68" i="11"/>
  <c r="G68" i="11"/>
  <c r="M67" i="11"/>
  <c r="G67" i="11"/>
  <c r="M66" i="11"/>
  <c r="G66" i="11"/>
  <c r="M65" i="11"/>
  <c r="G65" i="11"/>
  <c r="M64" i="11"/>
  <c r="G64" i="11"/>
  <c r="M63" i="11"/>
  <c r="G63" i="11"/>
  <c r="M62" i="11"/>
  <c r="G62" i="11"/>
  <c r="M61" i="11"/>
  <c r="G61" i="11"/>
  <c r="M60" i="11"/>
  <c r="G60" i="11"/>
  <c r="M59" i="11"/>
  <c r="G59" i="11"/>
  <c r="M58" i="11"/>
  <c r="G58" i="11"/>
  <c r="M57" i="11"/>
  <c r="G57" i="11"/>
  <c r="M56" i="11"/>
  <c r="G56" i="11"/>
  <c r="M55" i="11"/>
  <c r="G55" i="11"/>
  <c r="M54" i="11"/>
  <c r="G54" i="11"/>
  <c r="M53" i="11"/>
  <c r="G53" i="11"/>
  <c r="M52" i="11"/>
  <c r="G52" i="11"/>
  <c r="M51" i="11"/>
  <c r="G51" i="11"/>
  <c r="M50" i="11"/>
  <c r="G50" i="11"/>
  <c r="M49" i="11"/>
  <c r="G49" i="11"/>
  <c r="M48" i="11"/>
  <c r="G48" i="11"/>
  <c r="M47" i="11"/>
  <c r="G47" i="11"/>
  <c r="M46" i="11"/>
  <c r="G46" i="11"/>
  <c r="M45" i="11"/>
  <c r="G45" i="11"/>
  <c r="M44" i="11"/>
  <c r="G44" i="11"/>
  <c r="M43" i="11"/>
  <c r="G43" i="11"/>
  <c r="M42" i="11"/>
  <c r="G42" i="11"/>
  <c r="M41" i="11"/>
  <c r="G41" i="11"/>
  <c r="M40" i="11"/>
  <c r="G40" i="11"/>
  <c r="M39" i="11"/>
  <c r="G39" i="11"/>
  <c r="M38" i="11"/>
  <c r="G38" i="11"/>
  <c r="M37" i="11"/>
  <c r="G37" i="11"/>
  <c r="M36" i="11"/>
  <c r="G36" i="11"/>
  <c r="M35" i="11"/>
  <c r="G35" i="11"/>
  <c r="M34" i="11"/>
  <c r="G34" i="11"/>
  <c r="M33" i="11"/>
  <c r="G33" i="11"/>
  <c r="M32" i="11"/>
  <c r="G32" i="11"/>
  <c r="M31" i="11"/>
  <c r="G31" i="11"/>
  <c r="M30" i="11"/>
  <c r="G30" i="11"/>
  <c r="M29" i="11"/>
  <c r="G29" i="11"/>
  <c r="M28" i="11"/>
  <c r="G28" i="11"/>
  <c r="M27" i="11"/>
  <c r="G27" i="11"/>
  <c r="M26" i="11"/>
  <c r="G26" i="11"/>
  <c r="M25" i="11"/>
  <c r="G25" i="11"/>
  <c r="M24" i="11"/>
  <c r="G24" i="11"/>
  <c r="M23" i="11"/>
  <c r="G23" i="11"/>
  <c r="M22" i="11"/>
  <c r="G22" i="11"/>
  <c r="M21" i="11"/>
  <c r="G21" i="11"/>
  <c r="M20" i="11"/>
  <c r="G20" i="11"/>
  <c r="M19" i="11"/>
  <c r="G19" i="11"/>
  <c r="M18" i="11"/>
  <c r="G18" i="11"/>
  <c r="M17" i="11"/>
  <c r="G17" i="11"/>
  <c r="M16" i="11"/>
  <c r="G16" i="11"/>
  <c r="M15" i="11"/>
  <c r="G15" i="11"/>
  <c r="M14" i="11"/>
  <c r="G14" i="11"/>
  <c r="M13" i="11"/>
  <c r="G13" i="11"/>
  <c r="M12" i="11"/>
  <c r="G12" i="11"/>
  <c r="M11" i="11"/>
  <c r="G11" i="11"/>
  <c r="M10" i="11"/>
  <c r="G10" i="11"/>
  <c r="M9" i="11"/>
  <c r="G9" i="11"/>
  <c r="M8" i="11"/>
  <c r="G8" i="11"/>
  <c r="I20" i="10" l="1"/>
  <c r="H20" i="10"/>
  <c r="O20" i="10" s="1"/>
  <c r="O19" i="10"/>
  <c r="O18" i="10"/>
  <c r="O17" i="10"/>
  <c r="O16" i="10"/>
  <c r="O15" i="10"/>
  <c r="O14" i="10"/>
  <c r="O13" i="10"/>
  <c r="O12" i="10"/>
  <c r="O11" i="10"/>
  <c r="O10" i="10"/>
  <c r="O9" i="10"/>
  <c r="O8" i="10"/>
  <c r="O7" i="10"/>
  <c r="A7" i="10"/>
  <c r="A8" i="10" s="1"/>
  <c r="A9" i="10" s="1"/>
  <c r="A10" i="10" s="1"/>
  <c r="A11" i="10" s="1"/>
  <c r="A12" i="10" s="1"/>
  <c r="A13" i="10" s="1"/>
  <c r="A14" i="10" s="1"/>
  <c r="A15" i="10" s="1"/>
  <c r="A16" i="10" s="1"/>
  <c r="A17" i="10" s="1"/>
  <c r="A18" i="10" s="1"/>
  <c r="A19" i="10" s="1"/>
  <c r="O6" i="10"/>
  <c r="L42" i="7" l="1"/>
  <c r="K42" i="7"/>
  <c r="G42" i="7"/>
  <c r="F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42" i="7" s="1"/>
  <c r="M2" i="7"/>
  <c r="L32" i="8" l="1"/>
  <c r="K32" i="8"/>
  <c r="F32" i="8"/>
  <c r="G30" i="8"/>
  <c r="M30" i="8" s="1"/>
  <c r="G29" i="8"/>
  <c r="M29" i="8" s="1"/>
  <c r="G28" i="8"/>
  <c r="M28" i="8" s="1"/>
  <c r="G27" i="8"/>
  <c r="M27" i="8" s="1"/>
  <c r="G26" i="8"/>
  <c r="M26" i="8" s="1"/>
  <c r="G25" i="8"/>
  <c r="M25" i="8" s="1"/>
  <c r="G24" i="8"/>
  <c r="M24" i="8" s="1"/>
  <c r="G23" i="8"/>
  <c r="M23" i="8" s="1"/>
  <c r="G22" i="8"/>
  <c r="M22" i="8" s="1"/>
  <c r="G21" i="8"/>
  <c r="M21" i="8" s="1"/>
  <c r="G20" i="8"/>
  <c r="M20" i="8" s="1"/>
  <c r="G19" i="8"/>
  <c r="M19" i="8" s="1"/>
  <c r="G18" i="8"/>
  <c r="M18" i="8" s="1"/>
  <c r="G17" i="8"/>
  <c r="M17" i="8" s="1"/>
  <c r="G16" i="8"/>
  <c r="M16" i="8" s="1"/>
  <c r="G15" i="8"/>
  <c r="M15" i="8" s="1"/>
  <c r="G14" i="8"/>
  <c r="M14" i="8" s="1"/>
  <c r="G13" i="8"/>
  <c r="M13" i="8" s="1"/>
  <c r="G12" i="8"/>
  <c r="M12" i="8" s="1"/>
  <c r="G11" i="8"/>
  <c r="M11" i="8" s="1"/>
  <c r="G10" i="8"/>
  <c r="M10" i="8" s="1"/>
  <c r="G9" i="8"/>
  <c r="M9" i="8" s="1"/>
  <c r="G8" i="8"/>
  <c r="G32" i="8" s="1"/>
  <c r="M32" i="8" s="1"/>
  <c r="M2" i="8"/>
  <c r="C2" i="8"/>
  <c r="M8" i="8" l="1"/>
  <c r="M51" i="13" l="1"/>
  <c r="L51" i="13"/>
  <c r="G51" i="13"/>
  <c r="N51" i="13" s="1"/>
  <c r="F51" i="13"/>
  <c r="N48" i="13"/>
  <c r="N45" i="13"/>
  <c r="N44" i="13"/>
  <c r="N43" i="13"/>
  <c r="N42" i="13"/>
  <c r="N41" i="13"/>
  <c r="N40" i="13"/>
  <c r="N39" i="13"/>
  <c r="N38" i="13"/>
  <c r="N37" i="13"/>
  <c r="N36" i="13"/>
  <c r="N35" i="13"/>
  <c r="N34" i="13"/>
  <c r="N32" i="13"/>
  <c r="N31" i="13"/>
  <c r="N30" i="13"/>
  <c r="N29" i="13"/>
  <c r="N28" i="13"/>
  <c r="N27" i="13"/>
  <c r="N26" i="13"/>
  <c r="N25" i="13"/>
  <c r="N24" i="13"/>
  <c r="N22" i="13"/>
  <c r="N20" i="13"/>
  <c r="N19" i="13"/>
  <c r="N18" i="13"/>
  <c r="N17" i="13"/>
  <c r="N16" i="13"/>
  <c r="N15" i="13"/>
  <c r="N14" i="13"/>
  <c r="N13" i="13"/>
  <c r="N12" i="13"/>
  <c r="N11" i="13"/>
  <c r="N10" i="13"/>
  <c r="N9" i="13"/>
  <c r="N8" i="13"/>
  <c r="K57" i="6" l="1"/>
  <c r="J57" i="6"/>
  <c r="G57" i="6"/>
  <c r="L57" i="6" s="1"/>
  <c r="M56" i="6"/>
  <c r="M55" i="6"/>
  <c r="M54" i="6"/>
  <c r="M53" i="6"/>
  <c r="M52" i="6"/>
  <c r="M51" i="6"/>
  <c r="M50" i="6"/>
  <c r="M49" i="6"/>
  <c r="M48" i="6"/>
  <c r="M47" i="6"/>
  <c r="M46" i="6"/>
  <c r="F46" i="6"/>
  <c r="M45" i="6"/>
  <c r="M44" i="6"/>
  <c r="F44" i="6"/>
  <c r="M43" i="6"/>
  <c r="F43" i="6"/>
  <c r="M42" i="6"/>
  <c r="F42" i="6"/>
  <c r="M41" i="6"/>
  <c r="F41" i="6"/>
  <c r="M40" i="6"/>
  <c r="F40" i="6"/>
  <c r="M39" i="6"/>
  <c r="F39" i="6"/>
  <c r="M38" i="6"/>
  <c r="F38" i="6"/>
  <c r="M37" i="6"/>
  <c r="F37" i="6"/>
  <c r="M36" i="6"/>
  <c r="F36" i="6"/>
  <c r="M35" i="6"/>
  <c r="F35" i="6"/>
  <c r="M34" i="6"/>
  <c r="F34" i="6"/>
  <c r="M33" i="6"/>
  <c r="F33" i="6"/>
  <c r="M32" i="6"/>
  <c r="F32" i="6"/>
  <c r="M31" i="6"/>
  <c r="F31" i="6"/>
  <c r="M30" i="6"/>
  <c r="F30" i="6"/>
  <c r="M29" i="6"/>
  <c r="F29" i="6"/>
  <c r="M28" i="6"/>
  <c r="F28" i="6"/>
  <c r="M27" i="6"/>
  <c r="F27" i="6"/>
  <c r="M26" i="6"/>
  <c r="F26" i="6"/>
  <c r="M25" i="6"/>
  <c r="F25" i="6"/>
  <c r="M24" i="6"/>
  <c r="F24" i="6"/>
  <c r="M23" i="6"/>
  <c r="F23" i="6"/>
  <c r="M22" i="6"/>
  <c r="F22" i="6"/>
  <c r="M21" i="6"/>
  <c r="F21" i="6"/>
  <c r="M20" i="6"/>
  <c r="F20" i="6"/>
  <c r="M19" i="6"/>
  <c r="F19" i="6"/>
  <c r="M18" i="6"/>
  <c r="F18" i="6"/>
  <c r="M17" i="6"/>
  <c r="F17" i="6"/>
  <c r="M16" i="6"/>
  <c r="F16" i="6"/>
  <c r="M15" i="6"/>
  <c r="F15" i="6"/>
  <c r="M14" i="6"/>
  <c r="F14" i="6"/>
  <c r="M13" i="6"/>
  <c r="F13" i="6"/>
  <c r="M12" i="6"/>
  <c r="F12" i="6"/>
  <c r="M11" i="6"/>
  <c r="F11" i="6"/>
  <c r="M10" i="6"/>
  <c r="F10" i="6"/>
  <c r="M9" i="6"/>
  <c r="F9" i="6"/>
  <c r="F57" i="6" s="1"/>
  <c r="M8" i="6"/>
  <c r="L22" i="4" l="1"/>
  <c r="K22" i="4"/>
  <c r="M22" i="4" s="1"/>
  <c r="G22" i="4"/>
  <c r="F22" i="4"/>
  <c r="M21" i="4"/>
  <c r="M20" i="4"/>
  <c r="M19" i="4"/>
  <c r="M18" i="4"/>
  <c r="M17" i="4"/>
  <c r="M16" i="4"/>
  <c r="M15" i="4"/>
  <c r="M14" i="4"/>
  <c r="M13" i="4"/>
  <c r="M12" i="4"/>
  <c r="M11" i="4"/>
  <c r="M10" i="4"/>
  <c r="M9" i="4"/>
  <c r="M8" i="4"/>
  <c r="L16" i="3" l="1"/>
  <c r="K16" i="3"/>
  <c r="G16" i="3"/>
  <c r="F16" i="3"/>
  <c r="M15" i="3"/>
  <c r="M14" i="3"/>
  <c r="M13" i="3"/>
  <c r="M12" i="3"/>
  <c r="M11" i="3"/>
  <c r="M10" i="3"/>
  <c r="M9" i="3"/>
  <c r="M8" i="3"/>
  <c r="M16" i="3" l="1"/>
  <c r="K33" i="2"/>
  <c r="J33" i="2"/>
  <c r="F33" i="2"/>
  <c r="L33" i="2" s="1"/>
  <c r="E33" i="2"/>
  <c r="G5" i="1" l="1"/>
  <c r="H5" i="1"/>
  <c r="I5" i="1"/>
  <c r="E6" i="1"/>
  <c r="G6" i="1"/>
  <c r="I6" i="1"/>
  <c r="E7" i="1"/>
  <c r="G7" i="1"/>
  <c r="H7" i="1"/>
  <c r="I7" i="1" s="1"/>
  <c r="E8" i="1"/>
  <c r="G8" i="1"/>
  <c r="H8" i="1"/>
  <c r="I8" i="1" s="1"/>
  <c r="E9" i="1"/>
  <c r="G9" i="1"/>
  <c r="H9" i="1"/>
  <c r="I9" i="1" s="1"/>
  <c r="E10" i="1"/>
  <c r="G10" i="1"/>
  <c r="I10" i="1"/>
  <c r="E11" i="1"/>
  <c r="G11" i="1"/>
  <c r="I11" i="1"/>
  <c r="E12" i="1"/>
  <c r="G12" i="1"/>
  <c r="I12" i="1"/>
  <c r="G13" i="1"/>
  <c r="I13" i="1"/>
  <c r="E14" i="1"/>
  <c r="G14" i="1"/>
  <c r="I14" i="1"/>
  <c r="E15" i="1"/>
  <c r="G15" i="1"/>
  <c r="I15" i="1"/>
  <c r="E16" i="1"/>
  <c r="G16" i="1"/>
  <c r="I16" i="1"/>
  <c r="B17" i="1"/>
  <c r="C17" i="1"/>
  <c r="D17" i="1"/>
  <c r="F17" i="1"/>
  <c r="G17" i="1" l="1"/>
  <c r="E17" i="1"/>
  <c r="H17" i="1"/>
  <c r="I17" i="1" s="1"/>
</calcChain>
</file>

<file path=xl/comments1.xml><?xml version="1.0" encoding="utf-8"?>
<comments xmlns="http://schemas.openxmlformats.org/spreadsheetml/2006/main">
  <authors>
    <author>Diana Miller</author>
  </authors>
  <commentList>
    <comment ref="C7" authorId="0">
      <text>
        <r>
          <rPr>
            <b/>
            <sz val="9"/>
            <color indexed="81"/>
            <rFont val="Tahoma"/>
            <family val="2"/>
          </rPr>
          <t>Diana Miller:</t>
        </r>
        <r>
          <rPr>
            <sz val="9"/>
            <color indexed="81"/>
            <rFont val="Tahoma"/>
            <family val="2"/>
          </rPr>
          <t xml:space="preserve">
Now Ordering based on Start Sheet Dates</t>
        </r>
      </text>
    </comment>
  </commentList>
</comments>
</file>

<file path=xl/comments2.xml><?xml version="1.0" encoding="utf-8"?>
<comments xmlns="http://schemas.openxmlformats.org/spreadsheetml/2006/main">
  <authors>
    <author>Diana Miller</author>
  </authors>
  <commentList>
    <comment ref="C7" authorId="0">
      <text>
        <r>
          <rPr>
            <b/>
            <sz val="9"/>
            <color indexed="81"/>
            <rFont val="Tahoma"/>
            <family val="2"/>
          </rPr>
          <t>Diana Miller:</t>
        </r>
        <r>
          <rPr>
            <sz val="9"/>
            <color indexed="81"/>
            <rFont val="Tahoma"/>
            <family val="2"/>
          </rPr>
          <t xml:space="preserve">
Now Ordering based on Start Sheet Dates</t>
        </r>
      </text>
    </comment>
  </commentList>
</comments>
</file>

<file path=xl/sharedStrings.xml><?xml version="1.0" encoding="utf-8"?>
<sst xmlns="http://schemas.openxmlformats.org/spreadsheetml/2006/main" count="2645" uniqueCount="1248">
  <si>
    <t>Totals</t>
  </si>
  <si>
    <t>JJD</t>
  </si>
  <si>
    <t>HHSC- State Supported Living Centers</t>
  </si>
  <si>
    <t>HHSC- State Hospitals</t>
  </si>
  <si>
    <t>DSHS</t>
  </si>
  <si>
    <t>SPB</t>
  </si>
  <si>
    <t>THC</t>
  </si>
  <si>
    <t xml:space="preserve">2018- 2019 Funds </t>
  </si>
  <si>
    <t>Percent Remaining</t>
  </si>
  <si>
    <t>Remaining Project Balance</t>
  </si>
  <si>
    <t>Percent Expended</t>
  </si>
  <si>
    <t>FY 2018-19 Expended</t>
  </si>
  <si>
    <t>Percent Encumbered</t>
  </si>
  <si>
    <t>FY 2018-19 Encumbered</t>
  </si>
  <si>
    <t>Current Estimated Project Budget</t>
  </si>
  <si>
    <t>Original Estimated Project Budget</t>
  </si>
  <si>
    <t>FY 18-19 Report</t>
  </si>
  <si>
    <t>Agency:</t>
  </si>
  <si>
    <t>Texas Facilities Commission (303)</t>
  </si>
  <si>
    <t>Date:</t>
  </si>
  <si>
    <t>Prepared by:</t>
  </si>
  <si>
    <t>John Raff, P.E.</t>
  </si>
  <si>
    <t>Agency ID</t>
  </si>
  <si>
    <t>Project Name &amp; Location</t>
  </si>
  <si>
    <t>Project Description</t>
  </si>
  <si>
    <t>Source of Funding
(MOF)</t>
  </si>
  <si>
    <t>Estimated
Substantial Completion Date</t>
  </si>
  <si>
    <t>% Design
Completion</t>
  </si>
  <si>
    <t>% Const.
Completion</t>
  </si>
  <si>
    <t>FY 2016-17 Encumbered</t>
  </si>
  <si>
    <t>FY 2016-17 Expended</t>
  </si>
  <si>
    <t>Supp.
Notes</t>
  </si>
  <si>
    <t>DROC</t>
  </si>
  <si>
    <t>Replace deteriorated cooling water loop and pumps supplying cooling water to data center.</t>
  </si>
  <si>
    <t>ESF</t>
  </si>
  <si>
    <t>No</t>
  </si>
  <si>
    <r>
      <t xml:space="preserve">State Bldg/Air Handler Unit Replacements and DM Renovations at Various Buildings, Austin TX  </t>
    </r>
    <r>
      <rPr>
        <sz val="10"/>
        <color theme="1"/>
        <rFont val="Arial"/>
        <family val="2"/>
      </rPr>
      <t>Insurance Annex (</t>
    </r>
    <r>
      <rPr>
        <b/>
        <sz val="10"/>
        <color theme="1"/>
        <rFont val="Arial"/>
        <family val="2"/>
      </rPr>
      <t>INX</t>
    </r>
    <r>
      <rPr>
        <sz val="10"/>
        <color theme="1"/>
        <rFont val="Arial"/>
        <family val="2"/>
      </rPr>
      <t>)               William P. Clements (</t>
    </r>
    <r>
      <rPr>
        <b/>
        <sz val="10"/>
        <color theme="1"/>
        <rFont val="Arial"/>
        <family val="2"/>
      </rPr>
      <t>WPC</t>
    </r>
    <r>
      <rPr>
        <sz val="10"/>
        <color theme="1"/>
        <rFont val="Arial"/>
        <family val="2"/>
      </rPr>
      <t>)      Robert E. Johnson (</t>
    </r>
    <r>
      <rPr>
        <b/>
        <sz val="10"/>
        <color theme="1"/>
        <rFont val="Arial"/>
        <family val="2"/>
      </rPr>
      <t>REJ</t>
    </r>
    <r>
      <rPr>
        <sz val="10"/>
        <color theme="1"/>
        <rFont val="Arial"/>
        <family val="2"/>
      </rPr>
      <t>)             Price Daniel Sr. (</t>
    </r>
    <r>
      <rPr>
        <b/>
        <sz val="10"/>
        <color theme="1"/>
        <rFont val="Arial"/>
        <family val="2"/>
      </rPr>
      <t>PDB</t>
    </r>
    <r>
      <rPr>
        <sz val="10"/>
        <color theme="1"/>
        <rFont val="Arial"/>
        <family val="2"/>
      </rPr>
      <t>)           Supreme Court Bldg (</t>
    </r>
    <r>
      <rPr>
        <b/>
        <sz val="10"/>
        <color theme="1"/>
        <rFont val="Arial"/>
        <family val="2"/>
      </rPr>
      <t>SCB</t>
    </r>
    <r>
      <rPr>
        <sz val="10"/>
        <color theme="1"/>
        <rFont val="Arial"/>
        <family val="2"/>
      </rPr>
      <t>)          Tom C. Clark (</t>
    </r>
    <r>
      <rPr>
        <b/>
        <sz val="10"/>
        <color theme="1"/>
        <rFont val="Arial"/>
        <family val="2"/>
      </rPr>
      <t>TCC</t>
    </r>
    <r>
      <rPr>
        <sz val="10"/>
        <color theme="1"/>
        <rFont val="Arial"/>
        <family val="2"/>
      </rPr>
      <t xml:space="preserve">) </t>
    </r>
  </si>
  <si>
    <t>Renovation/Replacement of air handling units, outside air handling units, air distribution system and control; exterior cladding waterproofing repairs; emergency power and cooling connections and life safety systems.</t>
  </si>
  <si>
    <r>
      <t xml:space="preserve">DSHS/ Air Handler Unit Replacements and DM Renovations at Various Buildings, Austin TX        </t>
    </r>
    <r>
      <rPr>
        <sz val="10"/>
        <color theme="1"/>
        <rFont val="Arial"/>
        <family val="2"/>
      </rPr>
      <t>DSHS Bldg. G (</t>
    </r>
    <r>
      <rPr>
        <b/>
        <sz val="10"/>
        <color theme="1"/>
        <rFont val="Arial"/>
        <family val="2"/>
      </rPr>
      <t>DHG</t>
    </r>
    <r>
      <rPr>
        <sz val="10"/>
        <color theme="1"/>
        <rFont val="Arial"/>
        <family val="2"/>
      </rPr>
      <t>)                    DSHS Building K (</t>
    </r>
    <r>
      <rPr>
        <b/>
        <sz val="10"/>
        <color theme="1"/>
        <rFont val="Arial"/>
        <family val="2"/>
      </rPr>
      <t>DHK</t>
    </r>
    <r>
      <rPr>
        <sz val="10"/>
        <color theme="1"/>
        <rFont val="Arial"/>
        <family val="2"/>
      </rPr>
      <t>)               DSHS Tower Bldg. (</t>
    </r>
    <r>
      <rPr>
        <b/>
        <sz val="10"/>
        <color theme="1"/>
        <rFont val="Arial"/>
        <family val="2"/>
      </rPr>
      <t>DHT</t>
    </r>
    <r>
      <rPr>
        <sz val="10"/>
        <color theme="1"/>
        <rFont val="Arial"/>
        <family val="2"/>
      </rPr>
      <t>)          DSHS Records Bldg. (</t>
    </r>
    <r>
      <rPr>
        <b/>
        <sz val="10"/>
        <color theme="1"/>
        <rFont val="Arial"/>
        <family val="2"/>
      </rPr>
      <t>DHR</t>
    </r>
    <r>
      <rPr>
        <sz val="10"/>
        <color theme="1"/>
        <rFont val="Arial"/>
        <family val="2"/>
      </rPr>
      <t>)    Robert D Moreton (</t>
    </r>
    <r>
      <rPr>
        <b/>
        <sz val="10"/>
        <color theme="1"/>
        <rFont val="Arial"/>
        <family val="2"/>
      </rPr>
      <t>RDM</t>
    </r>
    <r>
      <rPr>
        <sz val="10"/>
        <color theme="1"/>
        <rFont val="Arial"/>
        <family val="2"/>
      </rPr>
      <t>)            DSHS Building F (</t>
    </r>
    <r>
      <rPr>
        <b/>
        <sz val="10"/>
        <color theme="1"/>
        <rFont val="Arial"/>
        <family val="2"/>
      </rPr>
      <t>DHF</t>
    </r>
    <r>
      <rPr>
        <sz val="10"/>
        <color theme="1"/>
        <rFont val="Arial"/>
        <family val="2"/>
      </rPr>
      <t xml:space="preserve">)               DSHS Service Building ( </t>
    </r>
    <r>
      <rPr>
        <b/>
        <sz val="10"/>
        <color theme="1"/>
        <rFont val="Arial"/>
        <family val="2"/>
      </rPr>
      <t>DHSB</t>
    </r>
    <r>
      <rPr>
        <sz val="10"/>
        <color theme="1"/>
        <rFont val="Arial"/>
        <family val="2"/>
      </rPr>
      <t>) Dr. Robert Bernstein Bldg. (</t>
    </r>
    <r>
      <rPr>
        <b/>
        <sz val="10"/>
        <color theme="1"/>
        <rFont val="Arial"/>
        <family val="2"/>
      </rPr>
      <t>RBB</t>
    </r>
    <r>
      <rPr>
        <sz val="10"/>
        <color theme="1"/>
        <rFont val="Arial"/>
        <family val="2"/>
      </rPr>
      <t>)</t>
    </r>
  </si>
  <si>
    <t>Renovation/Replacement of air handling units, outside air handling units, air distribution system and control; Structural/cladding/waterproofing repairs; and life safety systems.</t>
  </si>
  <si>
    <t>Dr. Bob Glaze Laboratory Services (DBGL), Austin TX</t>
  </si>
  <si>
    <t>Repair/Replace Mechanical systems and enhancement to indoor air quality; Replace/Repair of electrical and plumbing systems; Life safety and fire protection systems; repairs of exterior envelope; repair/replace roof.</t>
  </si>
  <si>
    <t>El Paso (ELP) El Paso TX</t>
  </si>
  <si>
    <t>Roof Replacement; Repair/Replace mechanical systems; structural/waterproofing repairs; Repair/Install Vestibule.</t>
  </si>
  <si>
    <t>Stephen F. Austin, Austin TX
William B. Travis, Austin, TX</t>
  </si>
  <si>
    <t>Repair outside air handling units, Fire separations, lightning protection, plumbing and associated Accessibility.</t>
  </si>
  <si>
    <t>Various Parking Garage Elevators Austin TX</t>
  </si>
  <si>
    <t>Repair/replacement of elevators.</t>
  </si>
  <si>
    <t>State Parking Garages Austin TX</t>
  </si>
  <si>
    <t>Repairs to life safety and fire protection systems; repairs to electrical systems; sitework, building envelope, expansion joints and structural systems.</t>
  </si>
  <si>
    <t>P35 Austin, TX</t>
  </si>
  <si>
    <t>Repair/Replace Cooling tower; distribution system and associated controls</t>
  </si>
  <si>
    <t>Program-wide Priority 1 Repairs</t>
  </si>
  <si>
    <t>Priority IA and IB deferred maintenance deficiencies that have become an immediate need (I) and impact health and life safety of the building occupants (A) or threaten the continuity of operations for critical governemnt operations (B).  These needs have advanced to an immediate stage since the proposed appropriation request developed in August of 2016 or may present as an immediate need through he course of the implementation of the 2018-19 deferred maintenance funding strategies.  The list of funding strategies provided for the 2018-19 deferred maintenance appropriation request is provided as an exhibit for reference to qualify initiatives in this project.</t>
  </si>
  <si>
    <t>Totals:</t>
  </si>
  <si>
    <t>Texas Historical Commission (808)</t>
  </si>
  <si>
    <t>Corey Crawford</t>
  </si>
  <si>
    <t>Project
Priority</t>
  </si>
  <si>
    <t xml:space="preserve">Current Estimated Project Budget
(for 1st Qtr.) </t>
  </si>
  <si>
    <t xml:space="preserve"> 808-18-0450</t>
  </si>
  <si>
    <t>Mission Dolores State Historic Site, San Augustine, San Augustine County, Texas</t>
  </si>
  <si>
    <t xml:space="preserve">Renovate the museum and laboratory buildings and construct a maintenance building to provide an improved educational experience to visitors. </t>
  </si>
  <si>
    <t>Economic Stabilization Fund (Fund 0599)</t>
  </si>
  <si>
    <t>Yes</t>
  </si>
  <si>
    <t>808-17-0452</t>
  </si>
  <si>
    <t>San Felipe de Austin State Historic Site, San Felipe, Austin County, Texas</t>
  </si>
  <si>
    <t xml:space="preserve">Construct a new museum, exhibits and maintenance building to provide an improved educational experience to visitors. </t>
  </si>
  <si>
    <t>Economic Stabilization Fund (Fund 0599) &amp; General Revenue - Sporting Goods Sales Tax (Fund 0001)</t>
  </si>
  <si>
    <t xml:space="preserve"> 808-18-0449</t>
  </si>
  <si>
    <t>National Museum of the Pacific War, Fredericksburg, Gillespie County, Texas</t>
  </si>
  <si>
    <t>Renovate the interior of the Admiral Nimitz Hotel to enhance efficiency and improve the visitor experience.</t>
  </si>
  <si>
    <t>808-18-X1B55</t>
  </si>
  <si>
    <t>Roof Repairs - State Historic Sites (Statewide)</t>
  </si>
  <si>
    <t xml:space="preserve">FY 18: Conduct necessary roof repairs at various sites in order to safeguard the buildings and their contents. </t>
  </si>
  <si>
    <t>808-18-X2G41</t>
  </si>
  <si>
    <t>Interior Renovations - State Historic Sites (Statewide)</t>
  </si>
  <si>
    <t>FY 18: Conduct renovations to various buildings in order to enhance function and interpretation</t>
  </si>
  <si>
    <t>808-18-STAFF</t>
  </si>
  <si>
    <t>Mission Dolores State Historic Site - Staffing (two years)</t>
  </si>
  <si>
    <t>808-19-X1B56</t>
  </si>
  <si>
    <t xml:space="preserve">FY 19: Conduct necessary roof repairs at various sites in order to safeguard the buildings and their contents. </t>
  </si>
  <si>
    <t>808-19-X2G42</t>
  </si>
  <si>
    <t>FY 19: Conduct renovations to various buildings in order to enhance function and interpretation</t>
  </si>
  <si>
    <t>STATE PRESERVATION BOARD (809)</t>
  </si>
  <si>
    <t>BOB CASH, CYNTHIA PROVINE</t>
  </si>
  <si>
    <t>CRP18001</t>
  </si>
  <si>
    <t>Capitol Elevator Modernization/Upgrade Phase 1</t>
  </si>
  <si>
    <t>Modernizaion of all Capitol and Extension Elevators.  Project is in the design / RFQ phase.  RFQ to be issued in the next month.  Delayed due to Special Session</t>
  </si>
  <si>
    <t>FUND 0001</t>
  </si>
  <si>
    <t>NO</t>
  </si>
  <si>
    <t>CRP18017</t>
  </si>
  <si>
    <t>Capitol Elevator Modernization/Upgrade Phase 2</t>
  </si>
  <si>
    <t>CRP18015</t>
  </si>
  <si>
    <t>HVAC Automation System Upgrade Capitol Extension</t>
  </si>
  <si>
    <t>RFP for materials being crafted, expect issue of RFP in the next 3 months - Delayed due ot Special Session</t>
  </si>
  <si>
    <t>HHSC 529 State-Operated Facilities Division - State Supported Living Centers</t>
  </si>
  <si>
    <t>HHSC State-Operated Facilities Division - Facilities Support Services</t>
  </si>
  <si>
    <t>18-100-ABL</t>
  </si>
  <si>
    <t>Abilene SSLC</t>
  </si>
  <si>
    <t>Replace Deaerator Tank</t>
  </si>
  <si>
    <t>ESF (other)</t>
  </si>
  <si>
    <t>TBD</t>
  </si>
  <si>
    <t>18-101-ABL</t>
  </si>
  <si>
    <t>Replace HVAC System B597</t>
  </si>
  <si>
    <t>18-102-ABL</t>
  </si>
  <si>
    <t>Replace Central Kitchen Walk-in Coolers / Freezer</t>
  </si>
  <si>
    <t>18-103-ABL</t>
  </si>
  <si>
    <t>Replace Steam Heating in Quads</t>
  </si>
  <si>
    <t>18-104-AUL</t>
  </si>
  <si>
    <t>Austin SSLC</t>
  </si>
  <si>
    <t>Repair Area Storm water Drainage</t>
  </si>
  <si>
    <t>18-105-AUL</t>
  </si>
  <si>
    <t>Replace failing water lines at site</t>
  </si>
  <si>
    <t>18-106-AUL</t>
  </si>
  <si>
    <t>Roof repair and replacement to various buildings</t>
  </si>
  <si>
    <t>18-107-BLC</t>
  </si>
  <si>
    <t>Brenham SSLC</t>
  </si>
  <si>
    <t>Bathrooms Renovation, Replacement of Ceiling Tile, Ceilings, and windows, Replace Deteriorated Metal Facades, and the Replacement of Failing Sanitary Sewer Lines - Mult. Bldgs.</t>
  </si>
  <si>
    <t>18-108-BLC</t>
  </si>
  <si>
    <t>Replace Chilled &amp; Hot Water Distribution System and Repair and Paint Elevated Water Tank</t>
  </si>
  <si>
    <t>18-109-CLC</t>
  </si>
  <si>
    <t>Corpus Christi SSLC</t>
  </si>
  <si>
    <t>HVAC and Emergency Generator Replacement</t>
  </si>
  <si>
    <t>18-110-DLC</t>
  </si>
  <si>
    <t>Denton SSLC</t>
  </si>
  <si>
    <t>Boiler Replacements</t>
  </si>
  <si>
    <t>18-111-DLC</t>
  </si>
  <si>
    <t>Replace HVAC roof top units and HVAC controls</t>
  </si>
  <si>
    <t>18-112-DLC</t>
  </si>
  <si>
    <t>Roof Replacements</t>
  </si>
  <si>
    <t>18-113-ELC</t>
  </si>
  <si>
    <t>El Paso SSLC</t>
  </si>
  <si>
    <t>Replaces obsolete electrical distribution system switchgear and covers</t>
  </si>
  <si>
    <t>18-114-ELC</t>
  </si>
  <si>
    <t>Domestic and Fire Waterline Replacement</t>
  </si>
  <si>
    <t>18-115-ELC</t>
  </si>
  <si>
    <t>661-ADA Alterations and Renovations</t>
  </si>
  <si>
    <t>18-116-ELC</t>
  </si>
  <si>
    <t xml:space="preserve">Renovate patio areas which will include fire sprinkler systems at client
residences and will require life/safety review </t>
  </si>
  <si>
    <t>18-117-LBL</t>
  </si>
  <si>
    <t>Lubbock SSLC</t>
  </si>
  <si>
    <t>HVAC, Plumbing and General Renovations</t>
  </si>
  <si>
    <t>18-118-LBL</t>
  </si>
  <si>
    <t>Replaced Deteriorated Kitchen Ceiling</t>
  </si>
  <si>
    <t>18-119-LFL</t>
  </si>
  <si>
    <t>Lufkin SSLC</t>
  </si>
  <si>
    <t>Bathroom Renovations</t>
  </si>
  <si>
    <t>18-120-LFL</t>
  </si>
  <si>
    <t>Roof Repair and Replacements</t>
  </si>
  <si>
    <t>18-121-MLC</t>
  </si>
  <si>
    <t>Mexia SSLC</t>
  </si>
  <si>
    <t xml:space="preserve">Emergency Generator Replacement
</t>
  </si>
  <si>
    <t>18-122-MLC</t>
  </si>
  <si>
    <t>Covered Canopy/Walkway Replacement</t>
  </si>
  <si>
    <t>18-123-MLC</t>
  </si>
  <si>
    <t>Replacement of Steam Boiler and Chilled &amp; Hot Water System, serving Gym and Client residences</t>
  </si>
  <si>
    <t>18-124-RLC</t>
  </si>
  <si>
    <t>Richmond SSLC</t>
  </si>
  <si>
    <t>Sanitary Sewer Line Replacement</t>
  </si>
  <si>
    <t>18-125-RLC</t>
  </si>
  <si>
    <t>Roof repairs and Replacements</t>
  </si>
  <si>
    <t>18-126-SGL</t>
  </si>
  <si>
    <t>San Angelo SSLC</t>
  </si>
  <si>
    <t>671-ADA Bathroom Additions / Renovations</t>
  </si>
  <si>
    <t>18-127-SGL</t>
  </si>
  <si>
    <t>Roof Repairs and Replacements</t>
  </si>
  <si>
    <t>18-128-SGL</t>
  </si>
  <si>
    <t>Replace/Upgrade Emergency Generators</t>
  </si>
  <si>
    <t>18-129-SGL</t>
  </si>
  <si>
    <t>Upgrade mechanical systems in plant</t>
  </si>
  <si>
    <t>18-130-SAL</t>
  </si>
  <si>
    <t>San Antonio SSLC</t>
  </si>
  <si>
    <t>Install Emergency Generator, Sandblast and Paint Building Exterior of Client use building, administration building, replace deteriorated wood exterior windows on Administration Building</t>
  </si>
  <si>
    <t>18-131-SAL</t>
  </si>
  <si>
    <t>Replace failing sanitary sewer line onsite</t>
  </si>
  <si>
    <t>18-132-ABL</t>
  </si>
  <si>
    <t>Replace Cottages Exterior Siding/Windows/Doors</t>
  </si>
  <si>
    <t>18-133-ABL</t>
  </si>
  <si>
    <t>ADA Renovations (Multi) and Campus Master Lock System</t>
  </si>
  <si>
    <t>18-134-AUL</t>
  </si>
  <si>
    <t>Replace deteriorated exterior windows - Admin Buildings and Client Support Buildings</t>
  </si>
  <si>
    <t>18-135-AUL</t>
  </si>
  <si>
    <t>Install emergency generator</t>
  </si>
  <si>
    <t>18-136-CLC</t>
  </si>
  <si>
    <t>Replace Master Lock Hardware</t>
  </si>
  <si>
    <t>18-137-DLC</t>
  </si>
  <si>
    <t>Replace Electrical Panels - Multiple Bldgs.</t>
  </si>
  <si>
    <t>18-138-ELC</t>
  </si>
  <si>
    <t>Install Steel Picket Security Fence</t>
  </si>
  <si>
    <t>18-139-MLC</t>
  </si>
  <si>
    <t>18-140-RLC</t>
  </si>
  <si>
    <t>Window Replacements</t>
  </si>
  <si>
    <t>18-141-RLC</t>
  </si>
  <si>
    <t>Cooling Tower and Chiller Replacement</t>
  </si>
  <si>
    <t>18-142-ABL</t>
  </si>
  <si>
    <t>Repair Exterior Brick Walls and Replace Roofs</t>
  </si>
  <si>
    <t>18-143-AUL</t>
  </si>
  <si>
    <t>Replace the deteriorated HVAC system and Provide for central HVAC system</t>
  </si>
  <si>
    <t>18-144-BLC</t>
  </si>
  <si>
    <t>Roof Repair and Replacement</t>
  </si>
  <si>
    <t>18-145-CLC</t>
  </si>
  <si>
    <t>Walkway and ADA Ramp Improvements</t>
  </si>
  <si>
    <t>18-146-DLC</t>
  </si>
  <si>
    <t>Replace Vent Hood</t>
  </si>
  <si>
    <t>18-147-LFL</t>
  </si>
  <si>
    <t>New above ground fuel storage tank</t>
  </si>
  <si>
    <t>18-148MLC</t>
  </si>
  <si>
    <t>Install New Vent Hood Fire Suppression System</t>
  </si>
  <si>
    <t>HHSC 529 State-Operated Facilities Division - State Hospitals</t>
  </si>
  <si>
    <t>16-010-EPC</t>
  </si>
  <si>
    <t>El Paso Psychiatric Center</t>
  </si>
  <si>
    <t>Boiler Replacement</t>
  </si>
  <si>
    <t>16-012-KSH</t>
  </si>
  <si>
    <t>Kerrville State Hospital</t>
  </si>
  <si>
    <t>HVAC &amp; Chiller Replacement</t>
  </si>
  <si>
    <t>16-018-RSH</t>
  </si>
  <si>
    <t>Rusk State Hospital</t>
  </si>
  <si>
    <t>Fire Escape &amp; Wall Replacement</t>
  </si>
  <si>
    <t>16-023-SAH</t>
  </si>
  <si>
    <t>San Antonio State Hospital</t>
  </si>
  <si>
    <t>HVAC, Transformer &amp; Piping Replacement; Fire Alarm Installation</t>
  </si>
  <si>
    <t>18-001-ASH</t>
  </si>
  <si>
    <t>Austin State Hospital</t>
  </si>
  <si>
    <t>Replace Anti-Ligature Hardware</t>
  </si>
  <si>
    <t>18-002-ASH</t>
  </si>
  <si>
    <t>Roof Repairs and Replacement</t>
  </si>
  <si>
    <t>18-003-BSH</t>
  </si>
  <si>
    <t>Big Spring State Hospital</t>
  </si>
  <si>
    <t>18-004-BSH</t>
  </si>
  <si>
    <t>Enclose/Replace Exterior Stairways</t>
  </si>
  <si>
    <t>18-005-BSH</t>
  </si>
  <si>
    <t>Sleeping Anti-ligature</t>
  </si>
  <si>
    <t>18-006-EPC</t>
  </si>
  <si>
    <t>Replace HVAC Control System</t>
  </si>
  <si>
    <t>18-007-KSH</t>
  </si>
  <si>
    <t>Replace Aging Chillers and Boilers</t>
  </si>
  <si>
    <t>18-008-KSH</t>
  </si>
  <si>
    <t>Install High Security Fence</t>
  </si>
  <si>
    <t>18-009-KSH</t>
  </si>
  <si>
    <t>18-010-KSH</t>
  </si>
  <si>
    <t>Repair Chapel 625</t>
  </si>
  <si>
    <t>18-011-RSC</t>
  </si>
  <si>
    <t>Rio Grande State Center</t>
  </si>
  <si>
    <t>Sewer Repair</t>
  </si>
  <si>
    <t>18-012-RSC</t>
  </si>
  <si>
    <t>Client Residence Upgrade</t>
  </si>
  <si>
    <t>18-013-RSH</t>
  </si>
  <si>
    <t>Anti-ligature Hardware Upgrades</t>
  </si>
  <si>
    <t>18-014-RSH</t>
  </si>
  <si>
    <t>Replace Obsolete Emergency Generators</t>
  </si>
  <si>
    <t>18-015-RSH</t>
  </si>
  <si>
    <t>Provide Exterior ADA Accessibility</t>
  </si>
  <si>
    <t>18-016-RSH</t>
  </si>
  <si>
    <t>Building Renovations</t>
  </si>
  <si>
    <t>18-017-SAH</t>
  </si>
  <si>
    <t>Replace/Install New Fire Sprinkler and Alarm Systems</t>
  </si>
  <si>
    <t>18-018-SAH</t>
  </si>
  <si>
    <t>Renovate Fire and Smoke Partitions in Client Residences</t>
  </si>
  <si>
    <t>18-019-TSH</t>
  </si>
  <si>
    <t>Terrell State Hospital</t>
  </si>
  <si>
    <t>Anti-ligature and Building Renovations</t>
  </si>
  <si>
    <t>18-020-TSH</t>
  </si>
  <si>
    <t>EMS Upgrades</t>
  </si>
  <si>
    <t>18-021-TSH</t>
  </si>
  <si>
    <t>HVAC Replacements</t>
  </si>
  <si>
    <t>18-022-TSH</t>
  </si>
  <si>
    <t>18-024-VSH</t>
  </si>
  <si>
    <t>North Texas State Hospital, Vernon Campus</t>
  </si>
  <si>
    <t>Replace HVAC Chillers and Control System</t>
  </si>
  <si>
    <t>18-025-VSH</t>
  </si>
  <si>
    <t>Replace Boilers</t>
  </si>
  <si>
    <t>18-026-VSH</t>
  </si>
  <si>
    <t>18-027-VSH</t>
  </si>
  <si>
    <t>Water Tank Repairs</t>
  </si>
  <si>
    <t>18-028-VSH</t>
  </si>
  <si>
    <t>Kitchen Expansion</t>
  </si>
  <si>
    <t>18-029-VSH</t>
  </si>
  <si>
    <t>Anti-ligature &amp; Building Renovations</t>
  </si>
  <si>
    <t>18-030-WCY</t>
  </si>
  <si>
    <t>Waco Center for Youth</t>
  </si>
  <si>
    <t>Replace Fire Alarm System</t>
  </si>
  <si>
    <t>18-031-WCY</t>
  </si>
  <si>
    <t>Emergency Generator Replacement</t>
  </si>
  <si>
    <t>18-032-WCY</t>
  </si>
  <si>
    <t>18-033-WFH</t>
  </si>
  <si>
    <t>North Texas State Hospital, Wichita Falls Campus</t>
  </si>
  <si>
    <t>18-034-WFH</t>
  </si>
  <si>
    <t>Emergency Generator Installation</t>
  </si>
  <si>
    <t>18-035-WFH</t>
  </si>
  <si>
    <t>18-036-BSH</t>
  </si>
  <si>
    <t>Repair or Replace Sanitary Sewer Lines</t>
  </si>
  <si>
    <t>18-037-BSH</t>
  </si>
  <si>
    <t>Electrical System Upgrade</t>
  </si>
  <si>
    <t>18-038-VSH</t>
  </si>
  <si>
    <t>Replace Electrical Panels and Main Disconnects</t>
  </si>
  <si>
    <t>18-039-WFH</t>
  </si>
  <si>
    <t>Elevator Installation</t>
  </si>
  <si>
    <t>18-040-TSH</t>
  </si>
  <si>
    <t>Building 650 Renovations</t>
  </si>
  <si>
    <t>Texas Juvenile Justice Department - 644</t>
  </si>
  <si>
    <t>Steven Vargas - Director of Construction</t>
  </si>
  <si>
    <t>High Voltage Loop - Giddings</t>
  </si>
  <si>
    <t>Replace major high voltage conduit and wire around the campus in order to bring to current code and support existing transformers. Reconfigure MDP panels and conductors up to the transformers.</t>
  </si>
  <si>
    <t>Gym Roof Repair - Giddings</t>
  </si>
  <si>
    <t>Hurricane Harvey storm damaged a portion of the roof at the gym. Replace roof with new roofing materials.</t>
  </si>
  <si>
    <t>Pool HVAC Install - Giddings</t>
  </si>
  <si>
    <t>Install an HVAC system &amp; room finish-out in the newly infilled pool in order to make this space habitabal for staff.</t>
  </si>
  <si>
    <t>Replace HVAC Units - Brownwood</t>
  </si>
  <si>
    <t>Replace the HVAC units &amp; associated appurtenances in the building inside the secured area with similarly size units.</t>
  </si>
  <si>
    <t>Side 2 Drop Ceiling Tiles Reinforcement - McLennan</t>
  </si>
  <si>
    <t>Youth have been accessing above the drop ceiling in the octogonal hallways &amp; damaging infrastructure. This project will install plywood over the tiles in all dorms.</t>
  </si>
  <si>
    <t>Replace HVAC Units - McLennan</t>
  </si>
  <si>
    <t>Convert Wooden Doors to Metal Doors - Evins</t>
  </si>
  <si>
    <t>Doors must be changed from wood to metal in order to fortify walkways &amp; due to fire code.</t>
  </si>
  <si>
    <t>HVAC Upgrades to Dorms, Admin, Gym - Gainesville</t>
  </si>
  <si>
    <t>Replace the HVAC units in the dorms, administration, and gym buildings with similarly sized units.</t>
  </si>
  <si>
    <t>Backup Generators - Gainesville</t>
  </si>
  <si>
    <t>Finish outfitting the entire campus so that all buildings have backup generators in case of a power outage.</t>
  </si>
  <si>
    <t>Drainage Improvements Front of Campus - Giddings</t>
  </si>
  <si>
    <t>During heavy rain events, the front area of campus is prone to flash flooding. This project will resize the infrastructure to accommodate these events.</t>
  </si>
  <si>
    <t>Structural Repair at Maintenance Office &amp; Auto Shop - Gainesville</t>
  </si>
  <si>
    <t>Recent foundational settling has caused the buildings to develop major cracks in the structure. This project will mitigate and repair the building.</t>
  </si>
  <si>
    <t>Vocational Shop Retaining Wall - Gainesville</t>
  </si>
  <si>
    <t>The loading dock has separated from the building. Repairs are needed with a retaining wall in order to address the issue.</t>
  </si>
  <si>
    <t>Roof Panels @ Storage Structre - Giddings</t>
  </si>
  <si>
    <t>The old greenhouse is currently being used as storage for the Maintenance Dept. Over time the roof panels have deteriorated and this project will provide for a new roof.</t>
  </si>
  <si>
    <t>Access Road to Lake - Giddings</t>
  </si>
  <si>
    <t>Current ingress/egress to campus lake overflow is over bare field. This project will provide for an access road for Maintenance to traverse.</t>
  </si>
  <si>
    <t>Replace Fire Alarm System - Giddings</t>
  </si>
  <si>
    <t>The fire alarm systems across campus have reached the end of their useful lives and parts are hard to get. This project will replace and update.</t>
  </si>
  <si>
    <t>Replace Landline - Giddings</t>
  </si>
  <si>
    <t>The original landline network is old and unreliable. Numerous outages have occurred and a total replacement would be necessary.</t>
  </si>
  <si>
    <t>Replace Gym Floor - Brownwood</t>
  </si>
  <si>
    <t>The gym floor is original and full of hazards to youth playing on it. Replacement is warranted to prevent falls and trips.</t>
  </si>
  <si>
    <t>HVAC Duct Cleaning - McLennan</t>
  </si>
  <si>
    <t>None of the ductwork on campus has ever been cleaned since the campus opened. Cleaning would improve the air quality in the buildings.</t>
  </si>
  <si>
    <t>Campuswide Drainage Improvments - McLennan</t>
  </si>
  <si>
    <t>Improved erosion control and storm water management upgrades are needed campuswide.</t>
  </si>
  <si>
    <t>Roof Replacement Dorms 1/2 &amp; Infirmary - Evins</t>
  </si>
  <si>
    <t>These roofs have leaking problems and are suseptable to storm damage.</t>
  </si>
  <si>
    <t>Sidewalk Improvements Campuswide - Gainesville</t>
  </si>
  <si>
    <t>Sidewalks have cracked and separated over time throughout campus and repairs are needed to prevent trip hazards.</t>
  </si>
  <si>
    <t>Campuswide Drainage Improvments - Gainesville</t>
  </si>
  <si>
    <t>Unanticipated Critical Maintenance Life/Safety</t>
  </si>
  <si>
    <t>This project will address any unanticipated, critical maintenance issues arising over the coming two years.</t>
  </si>
  <si>
    <t>Texas Department of Criminal Justice - 696</t>
  </si>
  <si>
    <t>Jerry McGinty, Chief Financial Officer</t>
  </si>
  <si>
    <t>03017005</t>
  </si>
  <si>
    <t>Jester III Unit, Richmond</t>
  </si>
  <si>
    <t>Facilty Repair:  Convert TCI Factory to Sheltered Beds</t>
  </si>
  <si>
    <t>Economic Stabilization Fund No. 0599</t>
  </si>
  <si>
    <t>06717005</t>
  </si>
  <si>
    <t>Telford Unit, New Boston</t>
  </si>
  <si>
    <t>12917002</t>
  </si>
  <si>
    <t>Young Unit, Dickinson</t>
  </si>
  <si>
    <t>Facility Repair:  Convert Surgical Suites to Sheltered Beds</t>
  </si>
  <si>
    <t>Lychner Unit, Humble</t>
  </si>
  <si>
    <t>Security: Replace Intercom System</t>
  </si>
  <si>
    <t>09115026</t>
  </si>
  <si>
    <t>Chasefield Unit, Beeville</t>
  </si>
  <si>
    <t>Roofing:  Replace Roof - Maintenance Building</t>
  </si>
  <si>
    <t>02214021</t>
  </si>
  <si>
    <t>Beto Unit, Tennessee Colony</t>
  </si>
  <si>
    <t>Facility Repair: Renovate Vault &amp; Replace Refrigeration System - Icehouse</t>
  </si>
  <si>
    <t>01215009</t>
  </si>
  <si>
    <t>Goree Unit, Huntsville</t>
  </si>
  <si>
    <t>Facility Repair:  Construct Enclosure - Intake Processing</t>
  </si>
  <si>
    <t>01313001</t>
  </si>
  <si>
    <t>Huntsville Unit, Huntsville</t>
  </si>
  <si>
    <t>Roofing:  Replace Roof and Repair North Wall - Infirmary Building</t>
  </si>
  <si>
    <t>04317001</t>
  </si>
  <si>
    <t>Kyle Unit, Kyle</t>
  </si>
  <si>
    <t>Facility Repair:  Replace Ceiling - Main Hallway &amp; Kitchen</t>
  </si>
  <si>
    <t>02710004</t>
  </si>
  <si>
    <t>Terrell Unit, Rosharon</t>
  </si>
  <si>
    <t>Infrastructure:  Replace Concrete Drive / Back Gate</t>
  </si>
  <si>
    <t>07015010</t>
  </si>
  <si>
    <t>Neal Unit, Amarillo</t>
  </si>
  <si>
    <t>Roofing:  Replace Roof - Beef Processing Plant</t>
  </si>
  <si>
    <t>01017017</t>
  </si>
  <si>
    <t>Ellis Unit, Huntsville</t>
  </si>
  <si>
    <t>Facility Repair:  Install Water Conservation System - Multiple Locations</t>
  </si>
  <si>
    <t>06115001</t>
  </si>
  <si>
    <t>Cotulla Unit,  Cotulla</t>
  </si>
  <si>
    <t>Facility Repair:  Replace Shower - Multiple Locations</t>
  </si>
  <si>
    <t>06313004</t>
  </si>
  <si>
    <t>Duncan Unit, Diboll</t>
  </si>
  <si>
    <t>Facility Repair:  Replace Shower Stalls - Unit Wide</t>
  </si>
  <si>
    <t>03612001</t>
  </si>
  <si>
    <t>Michael Unit, Tennessee Colony</t>
  </si>
  <si>
    <t>Infrastructure:  Construct Elevated Storage Tank &amp; Replace Ground Storage Tank</t>
  </si>
  <si>
    <t>01608001</t>
  </si>
  <si>
    <t>Mt. View Unit, Gatesville</t>
  </si>
  <si>
    <t>Infrastructure:  Replace Water Lines - Distribution System &amp; Replace Ground Water Storage</t>
  </si>
  <si>
    <t>03708003</t>
  </si>
  <si>
    <t>Clements Unit, Amarillo</t>
  </si>
  <si>
    <t>Safety:  Repair/Replace Fire Line - Administrative Segregation</t>
  </si>
  <si>
    <t>00613017</t>
  </si>
  <si>
    <t>Coffield Unit, Tennessee Colony</t>
  </si>
  <si>
    <t>Facility Repair:  Replace Flooring - Kitchen</t>
  </si>
  <si>
    <t>00615025</t>
  </si>
  <si>
    <t>Facility Repair:  Install Showers - Multiple Locations</t>
  </si>
  <si>
    <t>12107001</t>
  </si>
  <si>
    <t>Lindsey Unit, Jacksboro</t>
  </si>
  <si>
    <t>Infrastructure:  Correct Drainage Problems - Multiple Buildings</t>
  </si>
  <si>
    <t>03312003</t>
  </si>
  <si>
    <t>Jester IV, Richmond</t>
  </si>
  <si>
    <t>Roofing:  Replace Roof - Psychiatric Facility</t>
  </si>
  <si>
    <t>02217005</t>
  </si>
  <si>
    <t>Infrastructure:  Install Transformer - Substation</t>
  </si>
  <si>
    <t>01717008</t>
  </si>
  <si>
    <t>Ramsey Unit, Rosharon</t>
  </si>
  <si>
    <t>Roofing:  Replace Roof - Main Building</t>
  </si>
  <si>
    <t>04813003</t>
  </si>
  <si>
    <t>McConnell Unit, Beeville</t>
  </si>
  <si>
    <t>Infrastructure:  Replace Steam &amp; Condensate Lines</t>
  </si>
  <si>
    <t>03115010</t>
  </si>
  <si>
    <t>Hilltop Unit, Gatesville</t>
  </si>
  <si>
    <t>Roofing:  Replace Roof - Medical Department</t>
  </si>
  <si>
    <t>03217006</t>
  </si>
  <si>
    <t>Estelle Unit, Huntsville</t>
  </si>
  <si>
    <t>04816012</t>
  </si>
  <si>
    <t>Security:  Replace Cell Doors - Multiple Locations</t>
  </si>
  <si>
    <t>N/A</t>
  </si>
  <si>
    <t>01616002</t>
  </si>
  <si>
    <t>Security:  Replace Cell Doors - Administrative Segregation</t>
  </si>
  <si>
    <t>05416004</t>
  </si>
  <si>
    <t>Polunsky Unit, Livingston</t>
  </si>
  <si>
    <t>02812001</t>
  </si>
  <si>
    <t>Powledge Unit, Palestine</t>
  </si>
  <si>
    <t>Infrastructure:  Repair Washout - Outfall Line - Wastewater Treatment Plant</t>
  </si>
  <si>
    <t>03613004</t>
  </si>
  <si>
    <t>Roofing:  Replace Roof - Multiple Buildings</t>
  </si>
  <si>
    <t>03608011</t>
  </si>
  <si>
    <t>01017018</t>
  </si>
  <si>
    <t>Infrastructure:  Install Water Wells</t>
  </si>
  <si>
    <t>03615011</t>
  </si>
  <si>
    <t>Infrastructure: Replace Water Line - Between Well &amp; Ground Storage</t>
  </si>
  <si>
    <t xml:space="preserve"> </t>
  </si>
  <si>
    <t>Texas Department of Public Safety - 0405</t>
  </si>
  <si>
    <t>85th Legislature - $12M DM Projects</t>
  </si>
  <si>
    <t>Type - Original</t>
  </si>
  <si>
    <t>Type - Adjusted</t>
  </si>
  <si>
    <t>Current Estimated Project Budget (for 1st Qtr.)</t>
  </si>
  <si>
    <t>FY 2018-19
Expended</t>
  </si>
  <si>
    <t>ST-TEMP-18-62601</t>
  </si>
  <si>
    <t>Statewide DM Staff</t>
  </si>
  <si>
    <t>Professional staff employed by DPS and/or contractors to administer DM projects</t>
  </si>
  <si>
    <t xml:space="preserve">Economic Stabilization Fund (ESF) </t>
  </si>
  <si>
    <t>ST-IWMS-18-62930</t>
  </si>
  <si>
    <t>Statewide
Integrated Workplace Management System</t>
  </si>
  <si>
    <t>A computerized Integrated Workplace Management system (IWMS) that is web based and can be implemented statewide is needed to track and plan for maintenance of DPS facilities.  As funding permits, this will include  the implementation of space management, inventory management, lease management, and environmental sustainability integration.</t>
  </si>
  <si>
    <t>Dis-Approved Projects</t>
  </si>
  <si>
    <t xml:space="preserve">ESF </t>
  </si>
  <si>
    <t>ST-FCA-18-62931</t>
  </si>
  <si>
    <t>Statewide
Facility Condition Assessment</t>
  </si>
  <si>
    <t>Statewide Assessment:   An updated professional statewide Facility Condition Assessment study is needed to identify current deferred maintenance and capital renewal projects and associated costs.</t>
  </si>
  <si>
    <t>ST-CON-18-62932</t>
  </si>
  <si>
    <t>Statewide
Unexpected DM repairs/Project Contingency</t>
  </si>
  <si>
    <t>Statewide
Unexpected DM repairs/Project Contingency:  Emergency deferred maintenance repairs includes all trades listed above and unforeseen emergency building/infrastructure repairs as necessary for prior biennium and current DM projects.</t>
  </si>
  <si>
    <t>ST-SEC-18-62933</t>
  </si>
  <si>
    <t>Statewide Security Upgrade/Replacements</t>
  </si>
  <si>
    <t>Replace and upgrade access controls, video surveillance systems, door hardware, exterior doors, replace broken/old cameras, add cameras, and add access control where needed. .</t>
  </si>
  <si>
    <t>ST-UST-18-62934</t>
  </si>
  <si>
    <t>Statewide
Fuel System Removal/Replace</t>
  </si>
  <si>
    <t>Remove underground storage tanks and replace with above ground storage tanks (approximately 30 sites)</t>
  </si>
  <si>
    <t>ST-TEST-18-62935</t>
  </si>
  <si>
    <t>Statewide
Support Project Consultants</t>
  </si>
  <si>
    <t>Funding for design team, testing, consulting, commissioning, CMT, inspections type of expenditures associated with projects.</t>
  </si>
  <si>
    <t>21 M</t>
  </si>
  <si>
    <t>HQ-C-18-62936</t>
  </si>
  <si>
    <t>Austin HQ (Building c)
HVAC System Replacement
5805 North Lamar Blvd
Austin, Texas 78752</t>
  </si>
  <si>
    <t>HVAC System including piping, chiller, add DDC, etc</t>
  </si>
  <si>
    <t>HQ-E-18-62937</t>
  </si>
  <si>
    <t>Austin HQ (Building E)
Chiller Replacement
5805 North Lamar Blvd
Austin, Texas 78752</t>
  </si>
  <si>
    <t>Replace chillers</t>
  </si>
  <si>
    <t>2-HHQ-18-62938</t>
  </si>
  <si>
    <t>Houston Regional Headquarters (West Road) Crime Lab (Reg 2)
Chiller Replacement
12230 West Road
Jersey Village, Texas 77065</t>
  </si>
  <si>
    <t xml:space="preserve">Replace second chiller / Replace both boilers with outdoor rated boilers </t>
  </si>
  <si>
    <t>2-HHQ-18-62939</t>
  </si>
  <si>
    <t>Houston Regional Headquarters (Reg 2)
Chiller Replacement
12230 West Road
Jersey Village, Texas 77065</t>
  </si>
  <si>
    <t xml:space="preserve">Replace both chillers </t>
  </si>
  <si>
    <t>5-PLA-18-62940</t>
  </si>
  <si>
    <t xml:space="preserve">Plainview Area Office (Reg 5)
Roof Replacement
1108 South Columbia/Business I-27
Plainview, Texas 79072 </t>
  </si>
  <si>
    <t>Roof Replacement (approx. 7,500 sf - main/storage)</t>
  </si>
  <si>
    <t>2-HUN-18-62941</t>
  </si>
  <si>
    <t>Huntsville Area Office (Reg 2)
Roof Replacement
523 South Highway 75 North
Huntsville, Texas 77320</t>
  </si>
  <si>
    <t>Roof Replacement (approx. 4,129 sf - main)</t>
  </si>
  <si>
    <t>HQ-CAM-18-62942</t>
  </si>
  <si>
    <t>Austin HQ (Campus)
Campus Upgrade
5805 North Lamar Blvd
Austin, Texas 78752</t>
  </si>
  <si>
    <t>Comprehensive site upgrade to variety of infrastructure to include parking, site lighting, irrigation, power washing mildewed buildings, etc.</t>
  </si>
  <si>
    <t>Texas Parks and  Wildlife Department</t>
  </si>
  <si>
    <t>Infrastructure Division</t>
  </si>
  <si>
    <t>127490</t>
  </si>
  <si>
    <t>Battleship Texas SHP - Structural Repairs                                                                                                                                              3523 Independence Parkway S LaPorte, TX,77571 (Harris County)</t>
  </si>
  <si>
    <t>Construction administration and Balance of work to repair internal structural elements, identified in an October 2012 scope of work, which is necessary to stabilize the ship . Repairs are critical if the ship remains in a wet berth and would be absolutely necessary if ship is ever placed into a dry berth.</t>
  </si>
  <si>
    <t xml:space="preserve">General Revenue - Deferred Maintenance (State Parks) </t>
  </si>
  <si>
    <t>116818</t>
  </si>
  <si>
    <t>Fort Richardson SHS - Water and Wastewater System Replacement                                                                                                                228 State Park Road 61 Jacksboro, TX 76458 (Jack County)</t>
  </si>
  <si>
    <t>Planning and design costs to replace the 50-year-old wastewater system, water distribution system and the main lift station with modernized and efficient systems capable of saving water resources while servicing the entire park.</t>
  </si>
  <si>
    <t>116151</t>
  </si>
  <si>
    <t>Seminole Canyon SHS - Camp Loop Upgrades                                                                                                                                  US Hwy 90 W Comstock, TX 78837 (Val Verde County)</t>
  </si>
  <si>
    <r>
      <rPr>
        <sz val="12"/>
        <rFont val="Arial"/>
        <family val="2"/>
      </rPr>
      <t xml:space="preserve">Planning and design costs to upgrade the Desert Vista Camp Loop's utilities, to include replacement and repairs to the On Site Sewage Facility System, water well, storage tank, pumps, and associated appurtenances, accessible restroom </t>
    </r>
    <r>
      <rPr>
        <sz val="11"/>
        <color theme="1"/>
        <rFont val="Calibri"/>
        <family val="2"/>
        <scheme val="minor"/>
      </rPr>
      <t>upgrades, and electrical service.</t>
    </r>
  </si>
  <si>
    <t>126472</t>
  </si>
  <si>
    <t>Goliad SHS - Wastewater System Upgrade                                                                                                                                               108 Park Rd Goliad, TX 77963-3206 (Goliad County)</t>
  </si>
  <si>
    <t>Planning and design costs to replace obsolete clay wastewater lines and systems, lift station, septic tanks, and drain fields  with a modernized, efficient system capable of servicing the entire site, which includes the Hacienda, Mission workshop, CCC Restroom, Old River Restroom, park headquarters, group dining hall, camp loop, and residence.</t>
  </si>
  <si>
    <t>117535</t>
  </si>
  <si>
    <t>Copper Breaks SP - Water Distribution System Replacement                                                                                                                  777 Park Road 62 Quanah,79252-7679 (Hardman County)</t>
  </si>
  <si>
    <t>Replace a 50-year-old, leaking water distribution system and chlorination station with a modernized and efficient system capable of saving water resources while servicing the entire park.</t>
  </si>
  <si>
    <t>116471</t>
  </si>
  <si>
    <t>Balmorhea SP - CCC Motor Court Renovations, Utility Upgrades and Headquarters Replacement - Planning and Design                                                                                                                                                                        9207 H. 17S Toyahvale, TX (Reeves County)</t>
  </si>
  <si>
    <t xml:space="preserve">Renovate 18 Civilian Conservation Corps (CCC) motel units at the San Solomon Springs Motel Court, to include repairing termite damaged woodwork; upgrade the water and wastewater utilities and campground electrical utility service from 30 amp to 50 amp; renovate camp loop restrooms. </t>
  </si>
  <si>
    <t>117494</t>
  </si>
  <si>
    <t>Pedernales Falls SP - Restroom Replacements                                                                                                                  2585 Park Road 6026 Johnson City, TX 78636 (Blanco County)</t>
  </si>
  <si>
    <t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t>
  </si>
  <si>
    <t>122865</t>
  </si>
  <si>
    <t>Huntsville SP - CCC Boathouse and Lodge Patio Wall Repairs                                                                                                                565 Park Road 40 W Huntsville, TX 77342-0508 (Walker County)</t>
  </si>
  <si>
    <t>Planning and design costs to renovate Civilian Conservation Corps (CCC) boathouse  to include restoring the exterior hardwood siding, repairing the roof as well as interior and exterior structural damages, and repairing and stabilizing the Lodge's patio wall.</t>
  </si>
  <si>
    <t>116921</t>
  </si>
  <si>
    <t>Palo Duro Canyon SP - Headquarters Replacement                                                                                                                13 Miles E of Canyon at end of Hwy 217 Canyon, TX 79015 (Randall County)</t>
  </si>
  <si>
    <t>Planning costs for site headquarters replacement.  Headquarters is currently operating out of an under-sized converted residence and the project would provide an adequately-sized and modern facility to better serve the increasing number of visitors.</t>
  </si>
  <si>
    <t>117504</t>
  </si>
  <si>
    <t>Garner SP - Water System Upgrades                                                                                                                                                            US 83 N Concan, TX 78838 (Uvalde County)</t>
  </si>
  <si>
    <t xml:space="preserve">Planning and design costs to upgrade the park's overall water system, including treatment to reduce water hardness, and replace water distribution lines serving several park facilities in order to reduced system maintenance costs. </t>
  </si>
  <si>
    <t>117536</t>
  </si>
  <si>
    <t>Fairfield Lake SP - Wastewater Treatment Plant Repairs                                                                                                                                                                                         TX 2570 E Fairfield, TX 75840 (Freestone County)</t>
  </si>
  <si>
    <t>Replace the mechanical systems at two existing wastewater treatment plants with modernized and efficient systems that are capable of saving water resources while servicing the entire park.</t>
  </si>
  <si>
    <t>117505</t>
  </si>
  <si>
    <t>Statewide - Unspecified State Park State Park Region 3  Restroom Replacement Program</t>
  </si>
  <si>
    <t xml:space="preserve">Replace three public restroom complexes at Guadalupe State Park camping and day-use areas and one restroom complex at Government Canyon State Natural Area.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</si>
  <si>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126496</t>
  </si>
  <si>
    <t>Tyler SP - Residence Replacements                                                                                                                                               789 Park Rd 16 Tyler, TX 75706-9141 (Smith County)</t>
  </si>
  <si>
    <t>Replace two obsolete staff residences with two adequately-sized, durable, 1,800 square feet, three bedroom / two bath, energy-efficient structures, to include utility connections, parking and associated paving.</t>
  </si>
  <si>
    <t>127483</t>
  </si>
  <si>
    <t>Lake Tawakoni SP - Residence Replacement                                                                                                                                  10822 FM 2475 Willis Point, TX 75169 (Hunt Van Zandt County)</t>
  </si>
  <si>
    <t>Replace mobile home residence with an adequately-sized, durable, 1,800 square feet, three bedroom / two bath, energy-efficient structure, to include utility connections, parking and associated paving.</t>
  </si>
  <si>
    <t>127358</t>
  </si>
  <si>
    <t>Mission Tejas SHS - Replace Visitor Center                                                                                                                                                                                          120 State Park Rd. 4 Grapeland, TX 75844 (Houston County)</t>
  </si>
  <si>
    <t xml:space="preserve">Replace visitor center that was destroyed by Hurricane Ike.  New facility will include offices, assembly area, visitor check-in area, a new entry road and parking lot, utility extensions, and interpretive displays to educate visitors about the El Camino Real Trail.    </t>
  </si>
  <si>
    <t>117449</t>
  </si>
  <si>
    <t>Fort Leaton SHS - Roof Replacement                                                                                                                                                           FM 170 E Presidio, TX 79845 (Presidio County)</t>
  </si>
  <si>
    <t xml:space="preserve">Replace leaking roof to preserve the historic structure and protect the building and contents from further water damage.  </t>
  </si>
  <si>
    <t>117534</t>
  </si>
  <si>
    <t>Devil's River SP - Septic System Replacement                                                                                                                                           101 N. Sweeten Street Rocksprings, TX 78880 (Edward County)</t>
  </si>
  <si>
    <t xml:space="preserve">Replace multiple obsolete septic systems to meet TCEQ requirements. </t>
  </si>
  <si>
    <t>122888</t>
  </si>
  <si>
    <t>Monument Hill/Kreische Brewery SHS - Kreische House and Brewery Renovations                                                                                                                                                         414 State Loop 92 LaGrange, TX 78945 (Fayette County)</t>
  </si>
  <si>
    <t xml:space="preserve">Planning and design costs to renovate the interior and exterior of the historic Kreische House and Brewery to include water damage repairs and renovation of the cedar shake roof, structural elements, woodwork, floors, windows, stone work, finishes, historic furniture, and water diversion landscaping to protect the structures during flooding. </t>
  </si>
  <si>
    <t>114228</t>
  </si>
  <si>
    <t>Colorado Bend SP - Water Treatment Plant Replacement                                                                                                                                                    10 miles S of Bend on Gravel Rd Bend, TX 76824 (San Saba County)</t>
  </si>
  <si>
    <t xml:space="preserve">Planning and design costs to replace the water treatment plant with a new system to include a storage tank and ground water well. </t>
  </si>
  <si>
    <t>114243</t>
  </si>
  <si>
    <t>Pedernales Falls SP - Water and Wastewater System Upgrades                                                                                                                                                             2585 Park Road 6026 Johnson City, TX 78636 (Blanco County)</t>
  </si>
  <si>
    <t>Planning and design costs to upgrade the obsolete water treatment plant to include four septic fields, drain fields and the water filtration system, in order to save water resources and provide an adequate system capable of saving water resources while better serving park visitors.</t>
  </si>
  <si>
    <t>117260</t>
  </si>
  <si>
    <t>Ray Roberts Lake SP - Johnson Branch Unit Compost Toilet Replacements                                                                                                              100 PW 4137 Pilot Point 765258-8944 (Denton County)</t>
  </si>
  <si>
    <t>Replace seven obsolete compost toilets with modular vault toilets to serve several trail and camping areas and revise any pathways for ADA compliance.</t>
  </si>
  <si>
    <t>127438</t>
  </si>
  <si>
    <t xml:space="preserve">Lake Livingston SP - Marina Area and Fishing Pier Accessibility Upgrades and Repairs                                                                                                                                                                300 State Park Road 65 Livingston, TX 77351 (Polk County)                                                                                                                                                                         </t>
  </si>
  <si>
    <t>Planning and design costs to renovate the Marina Area and Fishing Pier to include: repairs to restrooms, courtesy dock, fueling stations, electrical and lighting systems, and the accessible routes between facilities and parking due to soil subsidence.</t>
  </si>
  <si>
    <t>114238</t>
  </si>
  <si>
    <t>Inks Lake SP - Headquarters Building Replacement - Planning and Design                                                                                                                                       3630 Pk Rd 4 W Burnet, TX 78611 (Burnett County)</t>
  </si>
  <si>
    <t xml:space="preserve">Planning and design costs to replace the under-sized headquarters building with one which includes an adequately-sized lobby and registration area and office, as well as additional restrooms, to meet staff and visitor needs.  Improve traffic flow around the headquarters site. </t>
  </si>
  <si>
    <t>117359</t>
  </si>
  <si>
    <t>McKinney Falls SP - Smith Visitor Center Facility and Exhibit Renovation                                                                                                                              5808 McKinney Falls Austin, TX 78744 (Travis County)</t>
  </si>
  <si>
    <t xml:space="preserve">Renovate the Smith Visitor Center including upgrading a learning center to serve as an interactive classroom with new interpretive exhibits to educate students and park visitors about the El Camino Real Trail. </t>
  </si>
  <si>
    <t>118102</t>
  </si>
  <si>
    <t>Bastrop SP - Shore Stabilization                                                                                                                                           100 Park Road 1 A Bastrop, TX 78602 (Bastrop County)</t>
  </si>
  <si>
    <t xml:space="preserve">Stabilization of shoreline adjacent to Cabins #1 and #12. </t>
  </si>
  <si>
    <t>127360</t>
  </si>
  <si>
    <t>Goliad SHS - Custodian's Cottage Renovation and Adaptive Reuse to Interpretive Facility                                                                                                                                        108 Park Rd Goliad, TX 77963-3206 (Goliad County)</t>
  </si>
  <si>
    <t>Renovate the CCC Custodian's Cottage to convert its use from administrative offices to an adequately-sized interpretive facility which will educate visitors about the El Camino Real Trail.  Renovations will include restoration of formal gardens and a new parking lot.</t>
  </si>
  <si>
    <t>126719</t>
  </si>
  <si>
    <t>Mustang Island SP - Campground and Day-Use Area Restroom Replacements                                                                                                                                                     17047 State Hwy 36 Port Aransas, TX 78373 (Nueces County)</t>
  </si>
  <si>
    <t xml:space="preserve">Replace two obsolete restrooms with one large restroom complex. The scope of work includes a new forty-four fixture count restroom facility, five new host sites, all associated site work, utilities, parking, and the hazmat removal and demolition of the existing restroom. </t>
  </si>
  <si>
    <t>126912</t>
  </si>
  <si>
    <t>Caddo Lake SP - Water System Upgrade                                                                                                                                                                245 Park Rd 2 Karnack, TX (Harrison county)</t>
  </si>
  <si>
    <t>Planning and design costs to upgrade domestic water source to treat for excessive amounts of iron in the water and prevent further damage to plumbing fixtures throughout the park.  Repairs include new storage tanks, pump systems, gas chlorination system, iron removal filter, refurbished hydro pneumatic tank, electrical improvements, and a pump house.</t>
  </si>
  <si>
    <t>117106</t>
  </si>
  <si>
    <t>Indian Lodge - Exterior Plaster and HVAC Replacement                                                                                                                TX Hwy 118 N, Park Rd 3 Fort Davis, TX 79734 (Jeff Davis County)</t>
  </si>
  <si>
    <t xml:space="preserve">Renovate the historic facility to include exterior plaster repairs and replace obsolete HVAC units with energy-efficient systems.  </t>
  </si>
  <si>
    <t>115356</t>
  </si>
  <si>
    <t>Choke Canyon State Park (South Shore Unit) - Boat Ramp                                                                                                                                    358 Recreation Rd 8  Calliham, TX 78007 (Live Oak County)</t>
  </si>
  <si>
    <t>Repair boat ramp which may include accessibility upgrades, courtesy docks, piers and renovation of existing facilities.</t>
  </si>
  <si>
    <t>115389</t>
  </si>
  <si>
    <t>Fort Parker State Park - Boat Ramp                                                                                                                                       194 Park Rd 28 Mexia, Tx 76667 (Limestone County)</t>
  </si>
  <si>
    <t>117036</t>
  </si>
  <si>
    <t>Ray Roberts Lake SP - Isle du Bois Unit  - Boat Ramp                                                                                                              100 PW 4137 Pilot Point 765258-8944 (Denton County)</t>
  </si>
  <si>
    <t>117503</t>
  </si>
  <si>
    <t>Inks Lake SP - Multiple Restroom Replacements                                                                                                                                          3630 Pk Rd 4 W Burnet, TX 78611 (Burnett County)</t>
  </si>
  <si>
    <t xml:space="preserve">Replace four public restroom complexes. Scope of work also includes development of utilities and parking.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</si>
  <si>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117495</t>
  </si>
  <si>
    <t>Albert and Bessie Kronkosky SNA - Public Use Development - Planning and Design                                                                                                                                                                                                                                                                                                                                                                                7690 Hwy 46 West Pipe Creek, TX 78063 (Bandera County)</t>
  </si>
  <si>
    <t>Advance planning costs to develop newly acquired site and install infrastructure, including utilities, parking, roadways, restrooms, toilets, and a fee collection booth at headquarters.  Site development would allow public access and would meet public use needs as required by the land use agreement, which would generate revenue and provide significant outdoor opportunities.</t>
  </si>
  <si>
    <t>127510</t>
  </si>
  <si>
    <t>Stephen F Austin SHS - Wastewater Treatment Plant Equalization Basin Installation                                                                                                                                                                                                                                                                                                                                                                                    3 miles E of Sealy on IH 10 San Felipe, TX 77473-0125 (Austin County)</t>
  </si>
  <si>
    <t xml:space="preserve">Planning and design costs to install equalization basin at wastewater treatment plant in order to provide adequate pace flow into the plant during peak usage. </t>
  </si>
  <si>
    <t>114144</t>
  </si>
  <si>
    <t>Austin Headquarters Complex - HVAC Control System Replacement                                                                                                                                         4200 Smith School Road Austin, TX 78744 (Travis County)</t>
  </si>
  <si>
    <t>Replace the existing climate control system at Austin Headquarters Complex with an updated HVAC Management System which is supported by current industry vendors and allows for remote adjustments by the energy performance contractor.</t>
  </si>
  <si>
    <t>118450</t>
  </si>
  <si>
    <t>Buescher SP - Boundary Fence Replacement - Fire Recovery                                                                                                                                                                                                                                                                                                                                                                                                                                                         100 Park Road 1E Smithville, TX 78957-0075 (Bastrop County)</t>
  </si>
  <si>
    <t xml:space="preserve">Replace approximately 7.5 miles of boundary fence around Buescher State Park and along Park Road 1-C, a majority of which sustained significant damage or was totally destroyed in a wildfire that began mid October 2015.  </t>
  </si>
  <si>
    <t>118414</t>
  </si>
  <si>
    <t>Lake Whitney SP - Camp Loop Restroom - Flood Recovery                                                                                                                                                                                                                                                                                                                                                                                                                   433 FM 1244 Whitney, TX 76692 (Hill County)</t>
  </si>
  <si>
    <t>Restore Restroom #5 at Area E's interior finishes and critical structural components prior to re-opening the facility which was damaged in the 2016 Flood.</t>
  </si>
  <si>
    <t>137395</t>
  </si>
  <si>
    <t>McKinney Falls SP - Restroom #4 Upper Falls North - Flood Recovery                                                                                                                                                                                                                                                                                                                                                                                                           5808 McKinney Falls Pkwy Austin, TX 78744 (Travis County)</t>
  </si>
  <si>
    <t>Repair interior and exterior finishes damaged by the flood.  Work will also address major mechanical, electrical and plumbing systems needed to restore full function of the restroom facility.</t>
  </si>
  <si>
    <t>128233</t>
  </si>
  <si>
    <t>Stephen F Austin SHS - Water Tank Repairs                                                                                                                                                                                                  3 miles E of Sealy on IH 10 San Felipe, TX 77473-0125 (Austin County)</t>
  </si>
  <si>
    <t xml:space="preserve">Pressure wash and repaint elevated water tank per TCEQ regulations. </t>
  </si>
  <si>
    <t>124545</t>
  </si>
  <si>
    <t>Huntsville SP - Dam Repair                                                                                                                                                                                              565 Park Road 40 W Huntsville, TX 77342-0508 (Walker County)</t>
  </si>
  <si>
    <t xml:space="preserve">Fortify and repair the earthen embankment and spillway. </t>
  </si>
  <si>
    <t>132907</t>
  </si>
  <si>
    <t>Bastrop SP - Group Barracks Complex Renovation                                                                                                                  100 Park road 1 A Bastrop, TX 78602 (Bastrop County)</t>
  </si>
  <si>
    <t>Renovate the Group Barracks Complex, which includes four dormitory buildings and one group dinning hall. The existing obsolete restroom will be demolished; restroom/shower facilities will be added to each dormitory facility. The renovations include updating of all mechanicals, plumbing, electrical, and site modifications to become code compliant and improve visitor experience.</t>
  </si>
  <si>
    <t>125986</t>
  </si>
  <si>
    <t xml:space="preserve">Port Isabel Lighthouse - Light house repairs; replace corroded metal                                                                                                                                421 East Queen Isabella Blvd Port Isabel, TX 78578 (Cameron County) </t>
  </si>
  <si>
    <t>Repair and/or replace corroded exterior metal components on the Port Isabel Lighthouse at the Watch room and Lantern Levels and repaint lighthouse exterior.</t>
  </si>
  <si>
    <t>137824</t>
  </si>
  <si>
    <t>Longhorn Caverns - Communications System and Surge Protection                                                                                                                                              6211 Park Rd 4 So. Burnet, TX 78611 (Burnet County)</t>
  </si>
  <si>
    <t>Install communication system for the cavern to protect the public in the event of an emergency.</t>
  </si>
  <si>
    <t>134232</t>
  </si>
  <si>
    <t>Hill Country SNA - Replace Well at Group Lodge                                                                                                            10600 Bandera Creed Rd Bandera, TX 78003 (Bandera County)</t>
  </si>
  <si>
    <t>Install water system at group lodge to provide potable water to guests.</t>
  </si>
  <si>
    <t>134239</t>
  </si>
  <si>
    <t>Lost Maples SNA - Replace Potable Water Storage Tank                                                                                                                                                                    37221 FM 187 Vanderpool, TX 78885 (Bandera County)</t>
  </si>
  <si>
    <t>Replace deteriorating drinking water storage tank with a new system in order to address a high iron content in the facility's water supply and meet TCEQ regulations.</t>
  </si>
  <si>
    <t>137394</t>
  </si>
  <si>
    <t>McKinney Falls SP - Smith Visitor's Center Flood Damage Repairs                                                                                                                                                           5808 McKinney Falls Austin, TX 78744 (Travis County)</t>
  </si>
  <si>
    <t>Repair all interior finishes, associated mechanical, electrical, and plumbing systems damaged by flood waters.  Reconstruct the interior restroom to meet TDLR standards.</t>
  </si>
  <si>
    <t>136423</t>
  </si>
  <si>
    <t>Davis Mountains SP - Communications Bldg. Repairs                                                                                                                    TX HWY 118 N, Park Rd 3 Fort Davis, TX 79734 (Jeff Davis County)</t>
  </si>
  <si>
    <t>Replace fire damaged radio house with a permanent facility to maintain park radio communications within the park and region.</t>
  </si>
  <si>
    <t>112741</t>
  </si>
  <si>
    <t>Tyler SP - Headquarters Replacement                                                                                                                                       789 Park Rd 16 Tyler, TX 75706-9141 (Smith County)</t>
  </si>
  <si>
    <t>Planning and design cost for replacing the headquarters facility with new, adequately-sized ADA-compliant building, road, parking lot, and entrance.</t>
  </si>
  <si>
    <t>118540</t>
  </si>
  <si>
    <t>Devil's River SP - New Visitor Check-in Building and Remodel of Existing Lodge.                                                                                                         101 N. Sweeten Street Rocksprings, TX 78880 (Edward County)</t>
  </si>
  <si>
    <t xml:space="preserve">Planning and design costs to develop the newly acquired south unit. </t>
  </si>
  <si>
    <t>126107</t>
  </si>
  <si>
    <t>San Jacinto Battleground SHS - Reflection Pool Structural Assessment                                                                                                                                                     3523 Independence Parkway S LaPorte, TX 77571 (Harris County)</t>
  </si>
  <si>
    <t xml:space="preserve">Professional engineering report and assessment for stabilizing and repairing the retaining walls around the reflecting pool. </t>
  </si>
  <si>
    <t>115897</t>
  </si>
  <si>
    <t>Palo Duro Canyon SP - Repairs to Juniper Camp Loop                                         13 Miles E of Canyon at end of Hwy 217 Canyon, TX 79015 (Randall County)</t>
  </si>
  <si>
    <t>Repairs to existing facilities and address storm water drainage issues around the buildings.</t>
  </si>
  <si>
    <t>115900</t>
  </si>
  <si>
    <t>Caddo Lake SP - Restroom Replacement                                                      245 Park Rd 2 Karnack, TX (Harrison county)</t>
  </si>
  <si>
    <t>117585</t>
  </si>
  <si>
    <t>Statewide - Unspecified Radio Tower Assessments</t>
  </si>
  <si>
    <t>Perform repairs on the 35 remotely-located, active TPWD radio tower sites, towers, and building structures supporting the radio equipment.  Repairs will maintain Federal Communications Commission compliance and will meet obligations to maintain the towers and sites as part of lease agreements.</t>
  </si>
  <si>
    <t>118669</t>
  </si>
  <si>
    <t>Austin Headquarters Complex - Multiple HVAC System Upgrades                         4200 Smith School Road Austin, TX 78744 (Travis County)</t>
  </si>
  <si>
    <t>Planning and design costs to upgrade and/or replace aging HVAC system(s) at the Austin HQ facilities.</t>
  </si>
  <si>
    <t>128106</t>
  </si>
  <si>
    <t>Palmetto SP - Group Camp Area Erosion Control                                                78 Park Road 11 South Gonzales, TX 78629 (Gonzalez County)</t>
  </si>
  <si>
    <t>Planning and assessment of riverbank erosion and stabilization recommendation and repairs  below the Group Camp Area</t>
  </si>
  <si>
    <t>128197</t>
  </si>
  <si>
    <t>Galveston Island SP - Repair Historical Residences                                             14901 FM 3005 Galveston, TX 77554 (Galveston County)</t>
  </si>
  <si>
    <t xml:space="preserve">Repairs and upgrades to the historic Stewart House and Ranch House. </t>
  </si>
  <si>
    <t>132416</t>
  </si>
  <si>
    <t>Hill Country SNA - Water System Replacement and Distribution                         10600 Bandera Creed Rd Bandera, TX 78003 (Bandera County)</t>
  </si>
  <si>
    <t>Replace existing water facilities with a new water distribution network.  Add a water treatment system to the main existing well, creating a Public Water System.</t>
  </si>
  <si>
    <t>134236</t>
  </si>
  <si>
    <t>Garner SP - Wastewater Treatment Plant Replacement                                   US 83 N Concan, TX 78838 (Uvalde County)</t>
  </si>
  <si>
    <t>Replace the undersized, leaking wastewater treatment plant with a modernized and efficient system.</t>
  </si>
  <si>
    <t>137357</t>
  </si>
  <si>
    <t>Balmorhea SP - Repair Motel Roofs and Replace Laundry Facility                         9207 H. 17S Toyahvale, TX (Reeves County)</t>
  </si>
  <si>
    <t>Replace the CCC motel building's damaged clay tile roof, and repair critical structural, mechanical, electrical and plumbing systems concealed in the attic space.</t>
  </si>
  <si>
    <t xml:space="preserve">TBD </t>
  </si>
  <si>
    <t>Austin Headquarters Complex - Unspecified Emergency Repairs                                                                                                                                                                                                                                                                                                                                                4200 Smith School Road Austin, TX 78744 (Travis County)</t>
  </si>
  <si>
    <t xml:space="preserve">Funding reserved to address Austin Headquarter Complex emergency repairs. </t>
  </si>
  <si>
    <t xml:space="preserve">General Revenue Dedicated - Deferred Maintenance (Fund9) </t>
  </si>
  <si>
    <t>127570</t>
  </si>
  <si>
    <t>Brownsville Field Station - Replace Storage Building                                         95 Fish Hatchery Road, Brownsville, TX 78520 (Cameron County)</t>
  </si>
  <si>
    <t>Construct building addition to the Main Boat and Truck storage facility.</t>
  </si>
  <si>
    <t xml:space="preserve">General Revenue Dedicated - Deferred Maintenance (SWFS) </t>
  </si>
  <si>
    <t>122081</t>
  </si>
  <si>
    <t>CCA Marine Development Center - Fish America Spawning Building and Ozone Water Purification System Replacement                                                                                                                                                                               4300 Waldron Road Corpus Christi, TX 78418 (Nueces County)</t>
  </si>
  <si>
    <t>Replace the under-sized, 30-year-old, Fish America spawning building with a new 4,000 square foot spawning building at the same location that will withstand the coastal elements.  Building will include staff offices and research space and a new ozone water purification system to replace the existing non-functioning ozone system.</t>
  </si>
  <si>
    <t>128535</t>
  </si>
  <si>
    <t xml:space="preserve">CCA Marine Development Center - Repairs to Ponds 1-10 Harvest Kettles                                                                                                                                                                                                                                                                                                                                                                                                                                                                       4300 Waldron Road Corpus Christi, TX 78418 (Nueces County)  </t>
  </si>
  <si>
    <t>Repair damaged concrete harvest kettles at Ponds 1-10. These ten ponds are original to the site and are in a stage of decay.  Repairs would include structural concrete work and efforts to minimize existing leaks.</t>
  </si>
  <si>
    <t>124743</t>
  </si>
  <si>
    <t>Dickinson Marine Lab - New Boat Storage Facility                                                                                                                                     1502 FM 517 E. Dickinson, TX 77539 (Galveston County)</t>
  </si>
  <si>
    <t>Install three metal boat storage buildings (4,960 square foot total) at the south, east and west sides of an existing paved storage area to secure the boats and protect from weather and vandalism.  Storage buildings shall include power and lighting.</t>
  </si>
  <si>
    <t>125873</t>
  </si>
  <si>
    <t>Dickinson Marine Lab - Roof Replacement                                                                                                                                     1502 FM 517 E. Dickinson, TX 77539 (Galveston County)</t>
  </si>
  <si>
    <t>Replace deteriorated office building roof.</t>
  </si>
  <si>
    <t>128533</t>
  </si>
  <si>
    <t>Perry R Bass Marine Research Station - Replace Residences                                                                                                         HC 02, Box 385 FM 3280 Palacios TX 77465 (Matagorda County)</t>
  </si>
  <si>
    <t xml:space="preserve">Construction administration to complete (2) residence replacements. </t>
  </si>
  <si>
    <t>122405</t>
  </si>
  <si>
    <t>Perry R Bass Marine Research Station - Hatchery Replacement                                                                                                                HC 02, Box 385 FM 3280 Palacios TX 77465 (Matagorda County)</t>
  </si>
  <si>
    <t xml:space="preserve">Planning and design costs for replacement of the under-sized and damaged ponds, hatchery buildings, infrastructure, and jetty pump intake. </t>
  </si>
  <si>
    <t>127861</t>
  </si>
  <si>
    <t>Rockport Annex - Boat Maintenance Shop Repairs      
824 S Fuqua St, Rockport, TX 78382 (Aransas County)</t>
  </si>
  <si>
    <t xml:space="preserve">Renovate existing and install new wall panels and repair roof leaks. </t>
  </si>
  <si>
    <t>124932</t>
  </si>
  <si>
    <t>Sea Center Texas - Fence Replacement                                                                                                                                                     300 Medical Drive Lake Jackson, TX 77566  (Brazoria County)</t>
  </si>
  <si>
    <t>Replace three miles of perimeter fencing in and around the facility with high game fence and an entry fence in order to protect the hatchery from wildlife intrusion.</t>
  </si>
  <si>
    <t>127758</t>
  </si>
  <si>
    <t>Sea Center Texas - Flounder Building                                                                                                                                                                                            300 Medical Drive Lake Jackson, Texas 77566 (Brazoria County)</t>
  </si>
  <si>
    <t xml:space="preserve">Construct new 3000 square foot flounder spawning building. Building will provide additional hatchery floor space for flounder bloodstock and incubation equipment and include a separate room for culture of live feeds. </t>
  </si>
  <si>
    <t>125983</t>
  </si>
  <si>
    <t>Sea Center Texas - Pond Electrical System Improvements                                                                                                                      300 Medical Drive Lake Jackson, Texas 77566  (Brazoria County)</t>
  </si>
  <si>
    <t>Upgrade obsolete electrical service systems at 36 ponds with modern and energy-efficient systems that will improve hatchery operations</t>
  </si>
  <si>
    <t xml:space="preserve">The Tyler Nature Center - Regional Office Replacement                             11942 FM 848, Tyler, TX 75707 (Smith County) </t>
  </si>
  <si>
    <t xml:space="preserve">Construction for phase 1 of the multi-regional complex. The current office complex supports business operations for 5 agency divisions and the existing facilities inadequately support business operations. Phase 1 will address the agency staff currently office in the 1950's Quail Hatchery Building. </t>
  </si>
  <si>
    <t>123377</t>
  </si>
  <si>
    <t>AE Wood Fish Hatchery - Incubation System                                                     507 Staples Rd, San Marcos, TX 78666 (Hays County)</t>
  </si>
  <si>
    <t xml:space="preserve">Renovate portions of the hatchery process systems including tanks, troughs, distribution piping, and valving. </t>
  </si>
  <si>
    <t xml:space="preserve">General Revenue Dedicated - Deferred Maintenance (FWFS) </t>
  </si>
  <si>
    <t>AE Wood Fish Hatchery - Rivers Studies Building                                        507 Staples Rd, San Marcos, TX 78666 (Hays County)</t>
  </si>
  <si>
    <t xml:space="preserve">Construct utilities and site work to install new modular office for the Rivers Studies staff </t>
  </si>
  <si>
    <t xml:space="preserve">Dundee Fish Hatchery - Ozone System                                                              16824 FM1180, Electra, TX 76360 (Archer County) </t>
  </si>
  <si>
    <t xml:space="preserve">Construction of an ozone disinfection system to control toxic golden algae present in the water source. In order to sustain hatchery operation during intermittent or persistent drought conditions, the project would also design and construct a system to collect the effluent from the six hatchery discharge points and pump it back to Lake Diversion to minimize the water lost from the reservoir as a result of hatchery operations. </t>
  </si>
  <si>
    <t>East Texas Fish Hatchery - Chemical Storage Unit                                                900 County Road 218, Brookeland, TX 75931 (Jasper County)</t>
  </si>
  <si>
    <t>Construct concrete slab and install modular storage unit</t>
  </si>
  <si>
    <t>Possum Kingdom Fish Hatchery - Hatchery Pond Renovation and Expansion    401 Red Bluff Rd, Graford, TX 76449 (Palo Pinto County)</t>
  </si>
  <si>
    <t xml:space="preserve">Construction of modern harvest kettles. Improvements will provide staff with greater efficiencies in harvesting fish and assist in reducing stress on fish during harvest. </t>
  </si>
  <si>
    <t>Possum Kingdom Fish Hatchery - Ozone Chiller Replacement               401 Red Bluff Rd, Graford, TX 76449 (Palo Pinto County)</t>
  </si>
  <si>
    <t>Replace chiller</t>
  </si>
  <si>
    <t>117303</t>
  </si>
  <si>
    <t xml:space="preserve">Statewide - Inland Fisheries - Upgrade SCADA System </t>
  </si>
  <si>
    <t>Upgrades to hatchery Supervisory Control and Data Acquisition (SCADA) systems for three (3) sites including A.E. Wood Fish Hatchery, Possum Kingdom Fish Hatchery and East Texas Fish Hatchery.</t>
  </si>
  <si>
    <t>116446</t>
  </si>
  <si>
    <t>Texas Freshwater Fisheries Center - Construct Effluent Re-Use System            5550 FM2495, Athens, TX 75752 (Henderson County)</t>
  </si>
  <si>
    <t xml:space="preserve">Construct water infrastructure improvements. </t>
  </si>
  <si>
    <t>128235</t>
  </si>
  <si>
    <t>Texas Freshwater Fisheries Center - Replace Ozone Tower                          5550 FM2495, Athens, TX 75752 (Henderson County)</t>
  </si>
  <si>
    <t xml:space="preserve">Replace portions of the ozone injection system including the ozone contact columns and affected distribution piping and valving </t>
  </si>
  <si>
    <t>116769</t>
  </si>
  <si>
    <t>Bastrop SP - Dam Replacement and Road Repairs                                                                                                                                            100 Park Road 1 A Bastrop, TX 78602 (Bastrop County)</t>
  </si>
  <si>
    <t>Replace the breached dam and repair roads due to the 2015 memorial day flooding.</t>
  </si>
  <si>
    <t xml:space="preserve">General Revenue - Weather Related (State Parks) </t>
  </si>
  <si>
    <t>128269</t>
  </si>
  <si>
    <t>Cedar Hill SP - Facility Repairs - Flood Recovery                                                                                                                                                                                                                                                                                                                                                                                                                                                                 1570 FM 1382 Cedar Hill, TX 75104 (Dallas County)</t>
  </si>
  <si>
    <t xml:space="preserve">Repair the Day Use Swim Beach, replacement of multiple restrooms, a pavilion and overall shoreline reinforcement which were damaged by the multiple flooding events in 2015 and 2016. </t>
  </si>
  <si>
    <t>128301</t>
  </si>
  <si>
    <t>Lake Somerville SP - Birch Creek Unit - Facility Repairs - Flood Recovery                                                                                                                                                                                                                                                                                                                                                                                                                                               14222 Park Road 57 Somerville, TX 77879-9713 (Burleson County)</t>
  </si>
  <si>
    <t xml:space="preserve">Repair facilities in the day use area, the Cedar Elm camping area, the Old Hickory and Bucktail bridge(s) which were damaged by multiple flooding events in 2015 and 2016. </t>
  </si>
  <si>
    <t>128322</t>
  </si>
  <si>
    <t>Lake Somerville SP - Nails Creek Unit - Facility Repairs - Flood Recovery                                                                                                                                                                                                                                                                                                                                                                                                                        6280 FM 180 Ledbetter, TX 78946-9512 (Lee County)</t>
  </si>
  <si>
    <t xml:space="preserve">Repair facilities in the day use area, the Cedar Creek camping area, and the Boat Ramp camping area which were damaged by the multiple flooding events in 2015 and 2016. </t>
  </si>
  <si>
    <t>128323</t>
  </si>
  <si>
    <t>Lake Somerville SP - Trailway - Bridge Repairs- Flood Recovery                                                                                                                                                                                                                                                                                                                                                                                                                    14222 Park Road 57 Somerville, TX 77879-9713 (Burleson County)</t>
  </si>
  <si>
    <t>Repair multiple bridges, culverts, and access ways along the Somerville Trailway that were damaged by multiple flooding events in 2015 and 2016.</t>
  </si>
  <si>
    <t>118477</t>
  </si>
  <si>
    <t>Lake Whitney SP - Erosion Repairs - Flood Recovery                                                                                                                                                                                                                                                                                                                                                                                                                                                      433 FM 1244 Whitney, TX 76692 (Hill County)</t>
  </si>
  <si>
    <t xml:space="preserve">Repair erosion damage, a boat ramp, and address soil stabilization that resulted from the multiple 2016 flood events.  </t>
  </si>
  <si>
    <t>118476</t>
  </si>
  <si>
    <t>Lake Whitney SP - Facilities Repairs - Flood Recovery                                                                                                                                                                                                                                                                                                                                                                                                                                          433 FM 1244 Whitney, TX 76692 (Hill County)</t>
  </si>
  <si>
    <t xml:space="preserve">Repair multiple facilities throughout the park damaged during multiple 2016 flood events.  Impacted areas include the Towash shelter loop, day use area, the group camp &amp; dinning hall, restroom #3, restroom #4, and parkwide shade shelter replacements. </t>
  </si>
  <si>
    <t>Mother Neff SP - Restroom and CCC Rock Tabernacle Repairs and Stabilization  1680 TX 236 HWY Moody, TX 76557 (Coryell County)</t>
  </si>
  <si>
    <t xml:space="preserve">Replace day use restroom with a new CXT and stabilization of 4000 sq. ft. CCC built tabernacle. Work includes structural, wood, and masonry repairs, reroofing, and site construction. </t>
  </si>
  <si>
    <t>128302</t>
  </si>
  <si>
    <t>Ray Roberts Lake SP - Complex Wide- Site Repairs - Flood Recovery                                                                                                                                                                                                                                                                                                                                                                                                                       100 PW 4137 Pilot Point, TX 76258-8944 (Denton County)</t>
  </si>
  <si>
    <t xml:space="preserve">Repair concrete walks, shoreline stabilization, playground areas, and the green belt trail which was damaged during the multiple flooding events in 2015 and 2016. </t>
  </si>
  <si>
    <t xml:space="preserve">Statewide - Unspecified Fund9 Division Flood Recovery </t>
  </si>
  <si>
    <t xml:space="preserve">Funding reserved to address the multiple flooding events in 2015 and 2015. Also, the 2017 Harvey damages. A comprehensive damage assessment has not yet been completed due to the magnitude of how widespread the impact areas are, high-water levels, and site inaccessibility. </t>
  </si>
  <si>
    <t xml:space="preserve">General Revenue - Weather Related (Fund9) </t>
  </si>
  <si>
    <t xml:space="preserve">Statewide - Unspecified State Park Flood Recovery </t>
  </si>
  <si>
    <t xml:space="preserve">Hazardous tree removal from the multiple flooding events in 2015 and 2016. </t>
  </si>
  <si>
    <t>Statewide - Unspecified State Park Harvey Recovery</t>
  </si>
  <si>
    <t xml:space="preserve">Funding reserved to address state park 2017 Harvey damages. A comprehensive damage assessment has not yet been completed due to the magnitude of how widespread the impact areas are, high-water levels, and site inaccessibility. </t>
  </si>
  <si>
    <t>128406</t>
  </si>
  <si>
    <t>Stephen F Austin SHS - Facility Repairs - Flood Recovery                                                                                                                                                                                                                                                                                                                                                                                                                                                                                 3 miles E of Sealy on IH 10 San Felipe, TX 77473-0125 (Austin County)</t>
  </si>
  <si>
    <t xml:space="preserve">Repair mini cabin(s), screen shelter(s), group dining hall(s), staff residences, the Bullinger Creek bunkhouse, the Nature Center, and multiple restrooms that were damaged during the 2016 flood. </t>
  </si>
  <si>
    <t>Texas Military Department - Agency 401</t>
  </si>
  <si>
    <t xml:space="preserve">Current Estimated Project Budget
</t>
  </si>
  <si>
    <t>Camp Mabry Admin Offices
2200 W 35th St Bldg 1
Austin, 78730</t>
  </si>
  <si>
    <t>The project will repair 22,702 sf of Readiness Center space to include compliance with ADA, ATFP, and current building code. General facility repairs to include: interior surfaces, mechanical and electrical systems, restrooms, and kitchen.</t>
  </si>
  <si>
    <t>General Revenue 50%, Federal Funds 50%</t>
  </si>
  <si>
    <t>3 QTR FY19</t>
  </si>
  <si>
    <t>yes</t>
  </si>
  <si>
    <t>Weslaco Readiness Center
1100 Vo-Tech Drive
Weslaco 78596</t>
  </si>
  <si>
    <t xml:space="preserve">The project will repair an existing 76,069 sf Readiness Center to include compliance with ADA, ATFP, and current building code. General facility repairs to include: interior surfaces, mechanical and electrical systems, restrooms, and kitchen.  </t>
  </si>
  <si>
    <t>4 QTR FY19</t>
  </si>
  <si>
    <t>Terrell Readiness Center
Lions Club Parkway 
Hwy 80 West
Terrell 75160</t>
  </si>
  <si>
    <t xml:space="preserve">The project will repair an existing 22,138 sf Readiness Center to include compliance with ADA, ATFP, and current building code. General facility repairs to include: interior surfaces, mechanical and electrical systems, restrooms, and kitchen.  </t>
  </si>
  <si>
    <t>3 QTR FY20</t>
  </si>
  <si>
    <t>Fort Worth Shoreview Readiness Center
8111 Shoreview Dr
Fort Worth 76108</t>
  </si>
  <si>
    <t xml:space="preserve">The project will repair 59,027 sf of Readiness Center space to include compliance with ADA, ATFP, and current building code. General facility repairs to include: interior surfaces, mechanical and electrical systems, restrooms, and kitchen.  </t>
  </si>
  <si>
    <t>4 QTR FY20</t>
  </si>
  <si>
    <t>Fort Worth Cobb Park Readiness Center
2101 Cobb Park Dr
Fort Worth 76105</t>
  </si>
  <si>
    <t xml:space="preserve">The project will repair an existing 34,549 sf Readiness Center to include compliance with ADA, ATFP, and current building code. General facility repairs to include: interior surfaces, mechanical and electrical systems, restrooms, and kitchen.  </t>
  </si>
  <si>
    <t>Supplemental Information</t>
  </si>
  <si>
    <t>1, 6</t>
  </si>
  <si>
    <t>Texas Historical Commission Rider 26 requires THC to not spend less than $1,425,000 on Deferred Maintenance projects at the Mission Dolores State Historic Site. The remaining $575,000 is intended for staffing at the site for FYs 2018-2019.  RFP is currently in development. THC Rider 2 splits the capital funding evenly $712,500 in each year of the biennium.</t>
  </si>
  <si>
    <t>This is a continuation of the new Construction project for which appropriations were made by the 83rd and 84th Legislatures. This is funded with $750,000 of Economic Stabilization Funds (Fund 0599) and $1,250,000 of GR - Sporting Goods Sales Tax (Fund 0001). THC Rider 26 requires not less than $2,000,000 be spent on the San Felipe de Austin State Historic Site. THC Rider 2 splits the capital funding evenly $1,000,000 in each year of the biennium.</t>
  </si>
  <si>
    <t>THC Rider 26 requires not less than $2,000,000 be spent on the National Museum of the Pacific War. RFP is currently in development. THC Rider 2 splits the capital funding evenly $1,000,000 in each year of the biennium.</t>
  </si>
  <si>
    <t>4, 7</t>
  </si>
  <si>
    <t>THC Rider 26 requires not less than $350,000 be spent on the deferred maintenance projects at State Historic Sites. THC Rider 2 splits the capital funding evenly $175,000 in each year of the biennium. There are multiple sites with roof replacement needs.</t>
  </si>
  <si>
    <t>5, 8</t>
  </si>
  <si>
    <t>THC Rider 26 requires not less than $350,000 be spent on the deferred maintenance projects at State Historic Sites. THC Rider 2 splits the capital funding evenly $175,000 in each year of the biennium. There are multiple sites with interior renovation needs.</t>
  </si>
  <si>
    <t>Total Estimated Project Budget</t>
  </si>
  <si>
    <t>Federal Share</t>
  </si>
  <si>
    <r>
      <t xml:space="preserve">Federal Share Encumbered / </t>
    </r>
    <r>
      <rPr>
        <b/>
        <i/>
        <sz val="12"/>
        <color theme="1"/>
        <rFont val="Arial"/>
        <family val="2"/>
      </rPr>
      <t>Estimated</t>
    </r>
  </si>
  <si>
    <t>Federal Share Expended</t>
  </si>
  <si>
    <t>Remaining Federal  Share</t>
  </si>
  <si>
    <t>Comments</t>
  </si>
  <si>
    <t>Project in Design</t>
  </si>
  <si>
    <t>TxDOT SPACE NEEDS REPORT</t>
  </si>
  <si>
    <t>Pursuant to Article IX, Section 18.10 General Appropriations Act, 84th Legislature, state agencies, or the facilities Commission on behalf of state agencies, shall notify  the committee of any need for new space, exceeding 50,000 square feet, expected in the next ten years, no later than 30 days after a need for new space is confirmed.</t>
  </si>
  <si>
    <t>5002 Construction of Buildings and Facilities</t>
  </si>
  <si>
    <t>Anticipated Space Needed</t>
  </si>
  <si>
    <t>AY2018</t>
  </si>
  <si>
    <t>AY2020</t>
  </si>
  <si>
    <t>AY2022</t>
  </si>
  <si>
    <t xml:space="preserve">$ Reported on AY 18/19 </t>
  </si>
  <si>
    <t>Austin Headquarters Consolidation</t>
  </si>
  <si>
    <t>500,000 sq/ft</t>
  </si>
  <si>
    <t>New Paris District Headquarters Campus</t>
  </si>
  <si>
    <t>50,000 sq/ft</t>
  </si>
  <si>
    <t>El Paso District Headquarters Campus</t>
  </si>
  <si>
    <t>Department of State Health Services - 537</t>
  </si>
  <si>
    <t>Charles Rotan</t>
  </si>
  <si>
    <t>53700</t>
  </si>
  <si>
    <t>18-401-TCD</t>
  </si>
  <si>
    <t>Economic Stabilization Fund- ESF (other)</t>
  </si>
  <si>
    <t>Perchloric Fume Hood Replacement</t>
  </si>
  <si>
    <t>To replace a specialty chemical fume hood system in the DSHS Laboratory that is used with acids.</t>
  </si>
  <si>
    <t>General Revenue</t>
  </si>
  <si>
    <t>Texas Facilities Commission Contract # 12-047-6032.  All funding obligated to TFC before the end of the FY 2016-2017 biennium.</t>
  </si>
  <si>
    <t>To renovate support buildings at Texas Center for Infectious Disease</t>
  </si>
  <si>
    <t>Spring 2019</t>
  </si>
  <si>
    <t xml:space="preserve">Health and Human Services manages and implements the TCID capital projects. Contract execution expected Summer 2018. </t>
  </si>
  <si>
    <t>2668</t>
  </si>
  <si>
    <t>Texas Department of Transportation #601</t>
  </si>
  <si>
    <t>AY18/19 PROJECTS PLANNED</t>
  </si>
  <si>
    <t>Version:  Final</t>
  </si>
  <si>
    <t>Priority Audit Trail</t>
  </si>
  <si>
    <t>Diana Miller</t>
  </si>
  <si>
    <t xml:space="preserve">Original Estimated 
Project Budget </t>
  </si>
  <si>
    <t xml:space="preserve">Current Estimated Project Budget
(for Q1 AY18) </t>
  </si>
  <si>
    <t>% Construction
Completion</t>
  </si>
  <si>
    <t>Comment</t>
  </si>
  <si>
    <t>FY18 Q1 JOC Priority</t>
  </si>
  <si>
    <t>FY18 Q2 JOC Priority</t>
  </si>
  <si>
    <t>FY18 Q3 JOC Priority</t>
  </si>
  <si>
    <t>FY18 Q4 JOC
Priority</t>
  </si>
  <si>
    <t>FY19 Q5 JOC Priority</t>
  </si>
  <si>
    <t>FY19 Q6 JOC Priority</t>
  </si>
  <si>
    <t>FY19 Q7 JOC Priority</t>
  </si>
  <si>
    <t>FY19 Q8 JOC Priority</t>
  </si>
  <si>
    <t>E1</t>
  </si>
  <si>
    <t>13470418179</t>
  </si>
  <si>
    <t>Building Renovation-Victoria</t>
  </si>
  <si>
    <t>Capital Repairs</t>
  </si>
  <si>
    <t>Highway Trans. Fund 6</t>
  </si>
  <si>
    <t>E2</t>
  </si>
  <si>
    <t>19470418181</t>
  </si>
  <si>
    <t>Building Renovation-Atlanta DHQ</t>
  </si>
  <si>
    <t>E3</t>
  </si>
  <si>
    <t>25470418060</t>
  </si>
  <si>
    <t>Building Renovation-Dickens</t>
  </si>
  <si>
    <t>E4</t>
  </si>
  <si>
    <t>24470418084</t>
  </si>
  <si>
    <t>CCURE Security Upgrades (including perimeter fencing)-DHQ</t>
  </si>
  <si>
    <t>Safety/Security</t>
  </si>
  <si>
    <t>E5</t>
  </si>
  <si>
    <t>17470418059</t>
  </si>
  <si>
    <t>E6</t>
  </si>
  <si>
    <t>14470418182</t>
  </si>
  <si>
    <t>Roof Replacement-South Travis MNT</t>
  </si>
  <si>
    <t>Roofing</t>
  </si>
  <si>
    <t>18470418061</t>
  </si>
  <si>
    <t>CCURE Security Upgrades (including perimeter fencing)-Rockwall</t>
  </si>
  <si>
    <t>18470418062</t>
  </si>
  <si>
    <t>CCURE Security Upgrades (including perimeter fencing)-Waxahachie</t>
  </si>
  <si>
    <t>22470418109</t>
  </si>
  <si>
    <t>Roof Replacement-DHQ</t>
  </si>
  <si>
    <t>22470418110</t>
  </si>
  <si>
    <t>22470418111</t>
  </si>
  <si>
    <t>18470418063</t>
  </si>
  <si>
    <t>CCURE Security Upgrades (including perimeter fencing)-Corsciana</t>
  </si>
  <si>
    <t>18470418064</t>
  </si>
  <si>
    <t>CCURE Security Upgrades (including perimeter fencing)-Dallas (North)</t>
  </si>
  <si>
    <t>18470418065</t>
  </si>
  <si>
    <t>CCURE Security Upgrades (including perimeter fencing)-Dallas (Southwest)</t>
  </si>
  <si>
    <t>18470418066</t>
  </si>
  <si>
    <t>CCURE Security Upgrades (including perimeter fencing)-Denton</t>
  </si>
  <si>
    <t>18470418067</t>
  </si>
  <si>
    <t>CCURE Security Upgrades (including perimeter fencing)-McKinney</t>
  </si>
  <si>
    <t>18470418068</t>
  </si>
  <si>
    <t>CCURE Security Upgrades (including perimeter fencing)-Hutchins</t>
  </si>
  <si>
    <t>02470418085</t>
  </si>
  <si>
    <t>CCURE Security Upgrades (including perimeter fencing)-Decatur</t>
  </si>
  <si>
    <t>02470418086</t>
  </si>
  <si>
    <t>CCURE Security Upgrades (including perimeter fencing)-Uless</t>
  </si>
  <si>
    <t>02470418087</t>
  </si>
  <si>
    <t>CCURE Security Upgrades (including perimeter fencing)-Keene</t>
  </si>
  <si>
    <t>02470418088</t>
  </si>
  <si>
    <t>CCURE Security Upgrades (including perimeter fencing)-Stephenville</t>
  </si>
  <si>
    <t>02470418089</t>
  </si>
  <si>
    <t>CCURE Security Upgrades (including perimeter fencing)-Weatherford</t>
  </si>
  <si>
    <t>22470418112</t>
  </si>
  <si>
    <t>Construct Concrete Flume with Detention Pond-DHQ</t>
  </si>
  <si>
    <t>Site Work</t>
  </si>
  <si>
    <t>12470418098</t>
  </si>
  <si>
    <t>CCURE Security Upgrades (including perimeter fencing)-Conroe</t>
  </si>
  <si>
    <t>12470418099</t>
  </si>
  <si>
    <t>CCURE Security Upgrades (including perimeter fencing)-Houston (Northeast)</t>
  </si>
  <si>
    <t>12470418100</t>
  </si>
  <si>
    <t>CCURE Security Upgrades (including perimeter fencing)-Houston (Northwest)</t>
  </si>
  <si>
    <t>12470418101</t>
  </si>
  <si>
    <t>CCURE Security Upgrades (including perimeter fencing)-Houston (South)</t>
  </si>
  <si>
    <t>12470418102</t>
  </si>
  <si>
    <t>CCURE Security Upgrades (including perimeter fencing)-Humble</t>
  </si>
  <si>
    <t>12470418103</t>
  </si>
  <si>
    <t>CCURE Security Upgrades (including perimeter fencing)-Lamarque</t>
  </si>
  <si>
    <t>12470418104</t>
  </si>
  <si>
    <t>CCURE Security Upgrades (including perimeter fencing)-Rosenberg</t>
  </si>
  <si>
    <t>02470418090</t>
  </si>
  <si>
    <t>CCURE Security Upgrades (including perimeter fencing)-Gordon</t>
  </si>
  <si>
    <t>02470418091</t>
  </si>
  <si>
    <t>CCURE Security Upgrades (including perimeter fencing)-Jacksboro</t>
  </si>
  <si>
    <t>02470418092</t>
  </si>
  <si>
    <t>CCURE Security Upgrades (including perimeter fencing)-Mineral Wells</t>
  </si>
  <si>
    <t>02470418093</t>
  </si>
  <si>
    <t>CCURE Security Upgrades (including perimeter fencing)-Saginaw</t>
  </si>
  <si>
    <t>02470418094</t>
  </si>
  <si>
    <t>CCURE Security Upgrades (including perimeter fencing)-Special Crews (Southeast)</t>
  </si>
  <si>
    <t>22470418113</t>
  </si>
  <si>
    <t>Parking Lot Expansion (Northeast)-DHQ</t>
  </si>
  <si>
    <t>24470418069</t>
  </si>
  <si>
    <t>CCURE Security Upgrades (including perimeter fencing)-Alpine</t>
  </si>
  <si>
    <t>24470418070</t>
  </si>
  <si>
    <t>CCURE Security Upgrades (including perimeter fencing)-El Paso (East)</t>
  </si>
  <si>
    <t>24470418071</t>
  </si>
  <si>
    <t>CCURE Security Upgrades (including perimeter fencing)-El Paso (West)</t>
  </si>
  <si>
    <t>14470418029</t>
  </si>
  <si>
    <t>CCURE Security Upgrades (including perimeter fencing)-Austin (North)</t>
  </si>
  <si>
    <t>14470418030</t>
  </si>
  <si>
    <t>CCURE Security Upgrades (including perimeter fencing)-Austin</t>
  </si>
  <si>
    <t>14470418031</t>
  </si>
  <si>
    <t>CCURE Security Upgrades (including perimeter fencing)-Bastrop</t>
  </si>
  <si>
    <t>14470418032</t>
  </si>
  <si>
    <t>CCURE Security Upgrades (including perimeter fencing)-Burnett</t>
  </si>
  <si>
    <t>14470418033</t>
  </si>
  <si>
    <t>CCURE Security Upgrades (including perimeter fencing)-Georgetown</t>
  </si>
  <si>
    <t>17470418049</t>
  </si>
  <si>
    <t>CCURE Security Upgrades (including perimeter fencing)-Brenham</t>
  </si>
  <si>
    <t>17470418050</t>
  </si>
  <si>
    <t>CCURE Security Upgrades (including perimeter fencing)-Bryan</t>
  </si>
  <si>
    <t>17470418051</t>
  </si>
  <si>
    <t>CCURE Security Upgrades (including perimeter fencing)-Hearne</t>
  </si>
  <si>
    <t>17470418052</t>
  </si>
  <si>
    <t>CCURE Security Upgrades (including perimeter fencing)-Huntsville</t>
  </si>
  <si>
    <t>05470418117</t>
  </si>
  <si>
    <t>CCURE Security Upgrades (including perimeter fencing)-Brownfield</t>
  </si>
  <si>
    <t>05470418118</t>
  </si>
  <si>
    <t>CCURE Security Upgrades (including perimeter fencing)-Littlefield</t>
  </si>
  <si>
    <t>05470418119</t>
  </si>
  <si>
    <t>CCURE Security Upgrades (including perimeter fencing)-Plainview</t>
  </si>
  <si>
    <t>05470418120</t>
  </si>
  <si>
    <t>CCURE Security Upgrades (including perimeter fencing)-Post RDC</t>
  </si>
  <si>
    <t>22470418114</t>
  </si>
  <si>
    <t>Building Renovation-Comstock</t>
  </si>
  <si>
    <t>02470418095</t>
  </si>
  <si>
    <t>Construct Box Culvert (Drainage Improvements)-DHQ</t>
  </si>
  <si>
    <t>02470418096</t>
  </si>
  <si>
    <t>Parking Lot Resurface-DHQ</t>
  </si>
  <si>
    <t>12470418105</t>
  </si>
  <si>
    <t>Building Renovation-Houston NW</t>
  </si>
  <si>
    <t>24470418072</t>
  </si>
  <si>
    <t>CCURE Security Upgrades (including perimeter fencing)-Canutillo</t>
  </si>
  <si>
    <t>24470418073</t>
  </si>
  <si>
    <t>CCURE Security Upgrades (including perimeter fencing)-Dell City</t>
  </si>
  <si>
    <t>24470418074</t>
  </si>
  <si>
    <t>CCURE Security Upgrades (including perimeter fencing)-Fort Davis</t>
  </si>
  <si>
    <t>24470418075</t>
  </si>
  <si>
    <t>CCURE Security Upgrades (including perimeter fencing)-Fort Hancock</t>
  </si>
  <si>
    <t>24470418076</t>
  </si>
  <si>
    <t>CCURE Security Upgrades (including perimeter fencing)-Marathon</t>
  </si>
  <si>
    <t>24470418077</t>
  </si>
  <si>
    <t>CCURE Security Upgrades (including perimeter fencing)-Marfa</t>
  </si>
  <si>
    <t>24470418078</t>
  </si>
  <si>
    <t>CCURE Security Upgrades (including perimeter fencing)-Pine Springs</t>
  </si>
  <si>
    <t>24470418079</t>
  </si>
  <si>
    <t>CCURE Security Upgrades (including perimeter fencing)-Presidio</t>
  </si>
  <si>
    <t>24470418080</t>
  </si>
  <si>
    <t>CCURE Security Upgrades (including perimeter fencing)-Sierra Blanca</t>
  </si>
  <si>
    <t>24470418081</t>
  </si>
  <si>
    <t>CCURE Security Upgrades (including perimeter fencing)-Terlingua</t>
  </si>
  <si>
    <t>24470418082</t>
  </si>
  <si>
    <t>CCURE Security Upgrades (including perimeter fencing)-Van Horn</t>
  </si>
  <si>
    <t>14470418034</t>
  </si>
  <si>
    <t>CCURE Security Upgrades (including perimeter fencing)-Austin (East)</t>
  </si>
  <si>
    <t>14470418035</t>
  </si>
  <si>
    <t>CCURE Security Upgrades (including perimeter fencing)-Austin (Northwest)</t>
  </si>
  <si>
    <t>14470418036</t>
  </si>
  <si>
    <t>CCURE Security Upgrades (including perimeter fencing)-Austin (West/Southwest)</t>
  </si>
  <si>
    <t>14470418037</t>
  </si>
  <si>
    <t>CCURE Security Upgrades (including perimeter fencing)-Fredericksburg</t>
  </si>
  <si>
    <t>14470418038</t>
  </si>
  <si>
    <t>CCURE Security Upgrades (including perimeter fencing)-Johnson City</t>
  </si>
  <si>
    <t>14470418039</t>
  </si>
  <si>
    <t>CCURE Security Upgrades (including perimeter fencing)-Llano</t>
  </si>
  <si>
    <t>14470418040</t>
  </si>
  <si>
    <t>CCURE Security Upgrades (including perimeter fencing)-Lockhart</t>
  </si>
  <si>
    <t>14470418041</t>
  </si>
  <si>
    <t>CCURE Security Upgrades (including perimeter fencing)-Mason</t>
  </si>
  <si>
    <t>14470418042</t>
  </si>
  <si>
    <t>CCURE Security Upgrades (including perimeter fencing)-San Marcos</t>
  </si>
  <si>
    <t>14470418043</t>
  </si>
  <si>
    <t>CCURE Security Upgrades (including perimeter fencing)-Taylor</t>
  </si>
  <si>
    <t>17470418053</t>
  </si>
  <si>
    <t>CCURE Security Upgrades (including perimeter fencing)-Buffalo</t>
  </si>
  <si>
    <t>17470418054</t>
  </si>
  <si>
    <t>CCURE Security Upgrades (including perimeter fencing)-Caldwell</t>
  </si>
  <si>
    <t>17470418055</t>
  </si>
  <si>
    <t>CCURE Security Upgrades (including perimeter fencing)-Cameron</t>
  </si>
  <si>
    <t>17470418056</t>
  </si>
  <si>
    <t>CCURE Security Upgrades (including perimeter fencing)-Fairfield</t>
  </si>
  <si>
    <t>17470418057</t>
  </si>
  <si>
    <t>CCURE Security Upgrades (including perimeter fencing)-Madisonville</t>
  </si>
  <si>
    <t>17470418058</t>
  </si>
  <si>
    <t>CCURE Security Upgrades (including perimeter fencing)-Navasota</t>
  </si>
  <si>
    <t>05470418121</t>
  </si>
  <si>
    <t>CCURE Security Upgrades (including perimeter fencing)-Bovina</t>
  </si>
  <si>
    <t>05470418122</t>
  </si>
  <si>
    <t>CCURE Security Upgrades (including perimeter fencing)-Dimmitt</t>
  </si>
  <si>
    <t>05470418123</t>
  </si>
  <si>
    <t>CCURE Security Upgrades (including perimeter fencing)-Floydada</t>
  </si>
  <si>
    <t>05470418124</t>
  </si>
  <si>
    <t>CCURE Security Upgrades (including perimeter fencing)-Lamesa</t>
  </si>
  <si>
    <t>05470418125</t>
  </si>
  <si>
    <t>CCURE Security Upgrades (including perimeter fencing)-Levelland</t>
  </si>
  <si>
    <t>05470418126</t>
  </si>
  <si>
    <t>CCURE Security Upgrades (including perimeter fencing)-Lubbock (Northeast)</t>
  </si>
  <si>
    <t>05470418127</t>
  </si>
  <si>
    <t>CCURE Security Upgrades (including perimeter fencing)-Morton</t>
  </si>
  <si>
    <t>05470418128</t>
  </si>
  <si>
    <t>CCURE Security Upgrades (including perimeter fencing)-Muleshoe</t>
  </si>
  <si>
    <t>05470418129</t>
  </si>
  <si>
    <t>CCURE Security Upgrades (including perimeter fencing)-Plains</t>
  </si>
  <si>
    <t>05470418130</t>
  </si>
  <si>
    <t>CCURE Security Upgrades (including perimeter fencing)-Ralls</t>
  </si>
  <si>
    <t>05470418131</t>
  </si>
  <si>
    <t>CCURE Security Upgrades (including perimeter fencing)-Seminole</t>
  </si>
  <si>
    <t>05470418132</t>
  </si>
  <si>
    <t>CCURE Security Upgrades (including perimeter fencing)-Tahoka</t>
  </si>
  <si>
    <t>05470418133</t>
  </si>
  <si>
    <t>CCURE Security Upgrades (including perimeter fencing)-Tulia</t>
  </si>
  <si>
    <t>12470418106</t>
  </si>
  <si>
    <t>Building Demolition-Houston NW</t>
  </si>
  <si>
    <t>07470418153</t>
  </si>
  <si>
    <t>Installation of Above-Ground Fuel Tank-Big Lake</t>
  </si>
  <si>
    <t>15470418158</t>
  </si>
  <si>
    <t>Laboratory Building Renovation-DHQ</t>
  </si>
  <si>
    <t>12470418107</t>
  </si>
  <si>
    <t>Replacement of Generator (Campus-wide)-Houston NW</t>
  </si>
  <si>
    <t>HVAC</t>
  </si>
  <si>
    <t>21470418141</t>
  </si>
  <si>
    <t>CCURE Security Upgrades (including perimeter fencing)-Hebbronville</t>
  </si>
  <si>
    <t>21470418142</t>
  </si>
  <si>
    <t>CCURE Security Upgrades (including perimeter fencing)-Pharr</t>
  </si>
  <si>
    <t>21470418143</t>
  </si>
  <si>
    <t>CCURE Security Upgrades (including perimeter fencing)-Rio Grande City</t>
  </si>
  <si>
    <t>21470418144</t>
  </si>
  <si>
    <t>CCURE Security Upgrades (including perimeter fencing)-San Benito</t>
  </si>
  <si>
    <t>07470418154</t>
  </si>
  <si>
    <t>Installation of Above-Ground Fuel Tank-San Angelo</t>
  </si>
  <si>
    <t>04470418002</t>
  </si>
  <si>
    <t>CCURE Security Upgrades (including perimeter fencing)-Amarillo (East)</t>
  </si>
  <si>
    <t>04470418003</t>
  </si>
  <si>
    <t>CCURE Security Upgrades (including perimeter fencing)-Canyon</t>
  </si>
  <si>
    <t>04470418004</t>
  </si>
  <si>
    <t>CCURE Security Upgrades (including perimeter fencing)-Dumas</t>
  </si>
  <si>
    <t>04470418005</t>
  </si>
  <si>
    <t>CCURE Security Upgrades (including perimeter fencing)-Pampa</t>
  </si>
  <si>
    <t>09470418168</t>
  </si>
  <si>
    <t>Well Improvements and Waterline Replacement-Marlin</t>
  </si>
  <si>
    <t>13470418177</t>
  </si>
  <si>
    <t>Building Renovation-DHQ</t>
  </si>
  <si>
    <t>15470418159</t>
  </si>
  <si>
    <t>Building Renovation-Transguide</t>
  </si>
  <si>
    <t>24470418083</t>
  </si>
  <si>
    <t>21470418145</t>
  </si>
  <si>
    <t>CCURE Security Upgrades (including perimeter fencing)-Brownsville</t>
  </si>
  <si>
    <t>21470418146</t>
  </si>
  <si>
    <t>CCURE Security Upgrades (including perimeter fencing)-Edcouch</t>
  </si>
  <si>
    <t>21470418147</t>
  </si>
  <si>
    <t>CCURE Security Upgrades (including perimeter fencing)-Falfurrias</t>
  </si>
  <si>
    <t>21470418148</t>
  </si>
  <si>
    <t>CCURE Security Upgrades (including perimeter fencing)-Mission</t>
  </si>
  <si>
    <t>21470418149</t>
  </si>
  <si>
    <t>CCURE Security Upgrades (including perimeter fencing)-Raymondville</t>
  </si>
  <si>
    <t>21470418150</t>
  </si>
  <si>
    <t>CCURE Security Upgrades (including perimeter fencing)-Santa Isidro</t>
  </si>
  <si>
    <t>21470418151</t>
  </si>
  <si>
    <t>CCURE Security Upgrades (including perimeter fencing)-Zapata</t>
  </si>
  <si>
    <t>07470418155</t>
  </si>
  <si>
    <t>Installation of Above-Ground Fuel Tank-DHQ</t>
  </si>
  <si>
    <t>04470418006</t>
  </si>
  <si>
    <t>CCURE Security Upgrades (including perimeter fencing)-Amarillo</t>
  </si>
  <si>
    <t>04470418007</t>
  </si>
  <si>
    <t>CCURE Security Upgrades (including perimeter fencing)-Borger</t>
  </si>
  <si>
    <t>04470418008</t>
  </si>
  <si>
    <t>CCURE Security Upgrades (including perimeter fencing)-Canadian</t>
  </si>
  <si>
    <t>04470418009</t>
  </si>
  <si>
    <t>CCURE Security Upgrades (including perimeter fencing)-Channing</t>
  </si>
  <si>
    <t>04470418010</t>
  </si>
  <si>
    <t>CCURE Security Upgrades (including perimeter fencing)-Claude</t>
  </si>
  <si>
    <t>04470418011</t>
  </si>
  <si>
    <t>CCURE Security Upgrades (including perimeter fencing)-Dalhart</t>
  </si>
  <si>
    <t>04470418012</t>
  </si>
  <si>
    <t>CCURE Security Upgrades (including perimeter fencing)-Darrouzett</t>
  </si>
  <si>
    <t>04470418013</t>
  </si>
  <si>
    <t>CCURE Security Upgrades (including perimeter fencing)-Groom</t>
  </si>
  <si>
    <t>04470418014</t>
  </si>
  <si>
    <t>CCURE Security Upgrades (including perimeter fencing)-Groover</t>
  </si>
  <si>
    <t>04470418015</t>
  </si>
  <si>
    <t>CCURE Security Upgrades (including perimeter fencing)-Hereford</t>
  </si>
  <si>
    <t>04470418016</t>
  </si>
  <si>
    <t>CCURE Security Upgrades (including perimeter fencing)-Panhandle</t>
  </si>
  <si>
    <t>04470418017</t>
  </si>
  <si>
    <t>CCURE Security Upgrades (including perimeter fencing)-Perrington</t>
  </si>
  <si>
    <t>04470418018</t>
  </si>
  <si>
    <t>CCURE Security Upgrades (including perimeter fencing)-Stratford</t>
  </si>
  <si>
    <t>04470418019</t>
  </si>
  <si>
    <t>CCURE Security Upgrades (including perimeter fencing)-Vega</t>
  </si>
  <si>
    <t>11470418135</t>
  </si>
  <si>
    <t>CCURE Security Upgrades (including perimeter fencing)-Center</t>
  </si>
  <si>
    <t>11470418136</t>
  </si>
  <si>
    <t>CCURE Security Upgrades (including perimeter fencing)-Crockett</t>
  </si>
  <si>
    <t>11470418137</t>
  </si>
  <si>
    <t>CCURE Security Upgrades (including perimeter fencing)-Groveton</t>
  </si>
  <si>
    <t>11470418138</t>
  </si>
  <si>
    <t>CCURE Security Upgrades (including perimeter fencing)-Hemphill</t>
  </si>
  <si>
    <t>11470418139</t>
  </si>
  <si>
    <t>CCURE Security Upgrades (including perimeter fencing)-Lufkin</t>
  </si>
  <si>
    <t>11470418140</t>
  </si>
  <si>
    <t>CCURE Security Upgrades (including perimeter fencing)-Sheperd</t>
  </si>
  <si>
    <t>19470418020</t>
  </si>
  <si>
    <t>CCURE Security Upgrades (including perimeter fencing)-Gilmer</t>
  </si>
  <si>
    <t>19470418021</t>
  </si>
  <si>
    <t>CCURE Security Upgrades (including perimeter fencing)-Marshall</t>
  </si>
  <si>
    <t>19470418022</t>
  </si>
  <si>
    <t>CCURE Security Upgrades (including perimeter fencing)-Mount Pleasant</t>
  </si>
  <si>
    <t>19470418023</t>
  </si>
  <si>
    <t>CCURE Security Upgrades (including perimeter fencing)-Texarkana</t>
  </si>
  <si>
    <t>22470418115</t>
  </si>
  <si>
    <t>Building Renovation-La Pryor</t>
  </si>
  <si>
    <t>13470418178</t>
  </si>
  <si>
    <t>05470418134</t>
  </si>
  <si>
    <t>Building Renovation-Plains</t>
  </si>
  <si>
    <t>12470418108</t>
  </si>
  <si>
    <t>Installation of Above-Ground Fuel Tank-Houston NW</t>
  </si>
  <si>
    <t>10470418167</t>
  </si>
  <si>
    <t>Building Demolitions-DHQ</t>
  </si>
  <si>
    <t>09470418169</t>
  </si>
  <si>
    <t>Relocate Portable Building-Special Crews</t>
  </si>
  <si>
    <t>07470418156</t>
  </si>
  <si>
    <t>Installation of Above-Ground Fuel Tank-Junction</t>
  </si>
  <si>
    <t>13470418180</t>
  </si>
  <si>
    <t>Generator Replacement-DHQ</t>
  </si>
  <si>
    <t>09470418170</t>
  </si>
  <si>
    <t>Exterior Lighting (Lot)-Meridian</t>
  </si>
  <si>
    <t>09470418171</t>
  </si>
  <si>
    <t>Exterior Lighting (Lot)-Hamilton</t>
  </si>
  <si>
    <t>09470418172</t>
  </si>
  <si>
    <t>Exterior Lighting (Lot)-Mexia</t>
  </si>
  <si>
    <t>20470418045</t>
  </si>
  <si>
    <t>Exterior Lighting (Lot)-Anahuac</t>
  </si>
  <si>
    <t>20470418046</t>
  </si>
  <si>
    <t>Exterior Lighting (Lot)-Kountze</t>
  </si>
  <si>
    <t>20470418047</t>
  </si>
  <si>
    <t>Exterior Lighting (Lot)-Newton</t>
  </si>
  <si>
    <t>20470418048</t>
  </si>
  <si>
    <t>Exterior Lighting (Lot)-Woodville</t>
  </si>
  <si>
    <t>03470418173</t>
  </si>
  <si>
    <t>CCURE Security Upgrades (including perimeter fencing)-Gainsville</t>
  </si>
  <si>
    <t>03470418174</t>
  </si>
  <si>
    <t>CCURE Security Upgrades (including perimeter fencing)-Graham</t>
  </si>
  <si>
    <t>03470418175</t>
  </si>
  <si>
    <t>CCURE Security Upgrades (including perimeter fencing)-Vernon</t>
  </si>
  <si>
    <t>03470418176</t>
  </si>
  <si>
    <t>CCURE Security Upgrades (including perimeter fencing)-Wichita Falls</t>
  </si>
  <si>
    <t>19470418024</t>
  </si>
  <si>
    <t>CCURE Security Upgrades (including perimeter fencing)-Carthage</t>
  </si>
  <si>
    <t>19470418025</t>
  </si>
  <si>
    <t>CCURE Security Upgrades (including perimeter fencing)-Daingerfield</t>
  </si>
  <si>
    <t>19470418026</t>
  </si>
  <si>
    <t>CCURE Security Upgrades (including perimeter fencing)-Jefferson</t>
  </si>
  <si>
    <t>19470418027</t>
  </si>
  <si>
    <t>CCURE Security Upgrades (including perimeter fencing)-Linden</t>
  </si>
  <si>
    <t>19470418028</t>
  </si>
  <si>
    <t>CCURE Security Upgrades (including perimeter fencing)-New Boston</t>
  </si>
  <si>
    <t>02470418097</t>
  </si>
  <si>
    <t>14470418044</t>
  </si>
  <si>
    <t>Drainage Improvements-San Marcos</t>
  </si>
  <si>
    <t>21470418152</t>
  </si>
  <si>
    <t>22470418116</t>
  </si>
  <si>
    <t>Building Renovation-Brackettville</t>
  </si>
  <si>
    <t>15470418160</t>
  </si>
  <si>
    <t>Exterior Lighting (Lot)-Bandera</t>
  </si>
  <si>
    <t>15470418161</t>
  </si>
  <si>
    <t>Exterior Lighting (Lot)-Boerne</t>
  </si>
  <si>
    <t>15470418162</t>
  </si>
  <si>
    <t>Exterior Lighting (Lot)-Divine</t>
  </si>
  <si>
    <t>15470418163</t>
  </si>
  <si>
    <t>Exterior Lighting (Lot)-Floresville</t>
  </si>
  <si>
    <t>15470418164</t>
  </si>
  <si>
    <t>Exterior Lighting (Lot)-Pearsall</t>
  </si>
  <si>
    <t>15470418165</t>
  </si>
  <si>
    <t>Exterior Lighting (Lot)-Tilden</t>
  </si>
  <si>
    <t>15470418166</t>
  </si>
  <si>
    <t>Exterior Lighting (Lot)-Uvalde</t>
  </si>
  <si>
    <t>07470418157</t>
  </si>
  <si>
    <t>Installation of Above-Ground Fuel Tank-Menard</t>
  </si>
  <si>
    <t>C1</t>
  </si>
  <si>
    <t>Statewide Projects-</t>
  </si>
  <si>
    <t xml:space="preserve">PROJECTS LISTED ABOVE CURRENTLY FUNDED $50M </t>
  </si>
  <si>
    <t>AY18/19 RADIO TOWER PROJECTS PLANNED</t>
  </si>
  <si>
    <t>25470418612</t>
  </si>
  <si>
    <t>Radio Tower Replacement of 175' - Childress</t>
  </si>
  <si>
    <t>New Construction</t>
  </si>
  <si>
    <t>Radio Tower Replacement of 175' -Brownwood</t>
  </si>
  <si>
    <t>Radio Tower Replacement of 300' - Pharr</t>
  </si>
  <si>
    <t>Radio Tower Replacement of 400 - Beaumont</t>
  </si>
  <si>
    <t>19470418611</t>
  </si>
  <si>
    <t>Radio Tower Replacement of 175' - Atlanta</t>
  </si>
  <si>
    <t>19470418610</t>
  </si>
  <si>
    <t>Radio Tower Replacement of 300' - Bryan</t>
  </si>
  <si>
    <t>Radio Tower Replacement of 350' - Austin</t>
  </si>
  <si>
    <t>07470418608</t>
  </si>
  <si>
    <t>Radio Tower Replacement of 300' - San Angelo</t>
  </si>
  <si>
    <t>04470418615</t>
  </si>
  <si>
    <t>Radio Tower Replacement of 175' - Amarillo</t>
  </si>
  <si>
    <t>04470418609</t>
  </si>
  <si>
    <t>Radio Tower Replacement of 350'  - Amarillo</t>
  </si>
  <si>
    <t>03470418614</t>
  </si>
  <si>
    <t>Radio Tower Replacement of 175' - Wichita Falls</t>
  </si>
  <si>
    <t>03470418613</t>
  </si>
  <si>
    <t>1NC</t>
  </si>
  <si>
    <t>38470418001</t>
  </si>
  <si>
    <t>AHQ Consolidation Design</t>
  </si>
  <si>
    <t>DPS</t>
  </si>
  <si>
    <t>TMD</t>
  </si>
  <si>
    <t>TPWD</t>
  </si>
  <si>
    <t>TDCJ</t>
  </si>
  <si>
    <t>TFC</t>
  </si>
  <si>
    <t>TXDOT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</si>
</sst>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quot;$&quot;#,##0"/>
    <numFmt numFmtId="165" formatCode="_(&quot;$&quot;* #,##0_);_(&quot;$&quot;* \(#,##0\);_(&quot;$&quot;* &quot;-&quot;??_);_(@_)"/>
    <numFmt numFmtId="166" formatCode="&quot;$&quot;#,##0;[Red]&quot;$&quot;#,##0"/>
    <numFmt numFmtId="167" formatCode="_(&quot;$&quot;* #,##0.00_);_(&quot;$&quot;* \(#,##0.00\);_(&quot;$&quot;* &quot;-&quot;_);_(@_)"/>
    <numFmt numFmtId="168" formatCode="mm/dd/yy;@"/>
    <numFmt numFmtId="169" formatCode="&quot;$&quot;#,##0.00"/>
    <numFmt numFmtId="170" formatCode="###0;###0"/>
  </numFmts>
  <fonts count="39">
    <font>
      <sz val="11"/>
      <color theme="1"/>
      <name val="Calibri"/>
      <family val="2"/>
      <scheme val="minor"/>
    </font>
    <font>
      <sz val="11"/>
      <color theme="1"/>
      <name val="Calibri"/>
      <family val="2"/>
      <scheme val="minor"/>
    </font>
    <font>
      <sz val="11"/>
      <color rgb="FF9C6500"/>
      <name val="Calibri"/>
      <family val="2"/>
      <scheme val="minor"/>
    </font>
    <font>
      <sz val="11"/>
      <name val="Calibri"/>
      <family val="2"/>
      <scheme val="minor"/>
    </font>
    <font>
      <b/>
      <u/>
      <sz val="16"/>
      <color theme="1"/>
      <name val="Calibri"/>
      <family val="2"/>
      <scheme val="minor"/>
    </font>
    <font>
      <b/>
      <sz val="12"/>
      <color theme="1"/>
      <name val="Arial"/>
      <family val="2"/>
    </font>
    <font>
      <i/>
      <sz val="12"/>
      <color theme="1"/>
      <name val="Arial"/>
      <family val="2"/>
    </font>
    <font>
      <sz val="12"/>
      <color theme="1"/>
      <name val="Arial"/>
      <family val="2"/>
    </font>
    <font>
      <sz val="10"/>
      <color theme="1"/>
      <name val="Arial"/>
      <family val="2"/>
    </font>
    <font>
      <b/>
      <sz val="10"/>
      <color theme="1"/>
      <name val="Arial"/>
      <family val="2"/>
    </font>
    <font>
      <sz val="14"/>
      <color theme="1"/>
      <name val="Calibri"/>
      <family val="2"/>
      <scheme val="minor"/>
    </font>
    <font>
      <b/>
      <sz val="14"/>
      <color theme="1"/>
      <name val="Calibri"/>
      <family val="2"/>
      <scheme val="minor"/>
    </font>
    <font>
      <b/>
      <i/>
      <sz val="14"/>
      <color theme="1"/>
      <name val="Calibri"/>
      <family val="2"/>
      <scheme val="minor"/>
    </font>
    <font>
      <i/>
      <sz val="14"/>
      <color theme="1"/>
      <name val="Calibri"/>
      <family val="2"/>
      <scheme val="minor"/>
    </font>
    <font>
      <b/>
      <u/>
      <sz val="14"/>
      <color theme="1"/>
      <name val="Calibri"/>
      <family val="2"/>
      <scheme val="minor"/>
    </font>
    <font>
      <sz val="10"/>
      <name val="Arial"/>
      <family val="2"/>
    </font>
    <font>
      <u/>
      <sz val="8"/>
      <color indexed="22"/>
      <name val="Calibri"/>
      <family val="2"/>
    </font>
    <font>
      <b/>
      <sz val="10"/>
      <name val="Arial"/>
      <family val="2"/>
    </font>
    <font>
      <sz val="10"/>
      <color indexed="8"/>
      <name val="Arial"/>
      <family val="2"/>
    </font>
    <font>
      <b/>
      <sz val="10"/>
      <color indexed="8"/>
      <name val="Arial"/>
      <family val="2"/>
    </font>
    <font>
      <sz val="12"/>
      <color rgb="FFFF0000"/>
      <name val="Arial"/>
      <family val="2"/>
    </font>
    <font>
      <i/>
      <sz val="12"/>
      <color rgb="FFFF0000"/>
      <name val="Arial"/>
      <family val="2"/>
    </font>
    <font>
      <sz val="12"/>
      <color rgb="FF7030A0"/>
      <name val="Arial"/>
      <family val="2"/>
    </font>
    <font>
      <b/>
      <sz val="12"/>
      <name val="Arial"/>
      <family val="2"/>
    </font>
    <font>
      <sz val="12"/>
      <name val="Arial"/>
      <family val="2"/>
    </font>
    <font>
      <b/>
      <i/>
      <sz val="12"/>
      <color theme="1"/>
      <name val="Arial"/>
      <family val="2"/>
    </font>
    <font>
      <sz val="12"/>
      <name val="CG Times (W1)"/>
    </font>
    <font>
      <b/>
      <sz val="12"/>
      <color indexed="8"/>
      <name val="Arial"/>
      <family val="2"/>
    </font>
    <font>
      <sz val="12"/>
      <color indexed="8"/>
      <name val="Arial"/>
      <family val="2"/>
    </font>
    <font>
      <b/>
      <u/>
      <sz val="12"/>
      <color theme="1"/>
      <name val="Arial"/>
      <family val="2"/>
    </font>
    <font>
      <b/>
      <u/>
      <sz val="12"/>
      <name val="Calibri"/>
      <family val="2"/>
      <scheme val="minor"/>
    </font>
    <font>
      <b/>
      <sz val="14"/>
      <color theme="1"/>
      <name val="Arial"/>
      <family val="2"/>
    </font>
    <font>
      <b/>
      <sz val="16"/>
      <color theme="1"/>
      <name val="Arial"/>
      <family val="2"/>
    </font>
    <font>
      <sz val="16"/>
      <color theme="1"/>
      <name val="Arial"/>
      <family val="2"/>
    </font>
    <font>
      <b/>
      <sz val="9"/>
      <color indexed="81"/>
      <name val="Tahoma"/>
      <family val="2"/>
    </font>
    <font>
      <sz val="9"/>
      <color indexed="81"/>
      <name val="Tahoma"/>
      <family val="2"/>
    </font>
    <font>
      <sz val="12"/>
      <color rgb="FF000000"/>
      <name val="Arial"/>
      <family val="2"/>
    </font>
    <font>
      <sz val="10"/>
      <color theme="1"/>
      <name val="Calibri"/>
      <family val="2"/>
      <scheme val="minor"/>
    </font>
    <font>
      <sz val="10"/>
      <color rgb="FF000000"/>
      <name val="Calibri"/>
      <family val="2"/>
    </font>
  </fonts>
  <fills count="9">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3" tint="0.59999389629810485"/>
        <bgColor indexed="64"/>
      </patternFill>
    </fill>
  </fills>
  <borders count="46">
    <border>
      <left/>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s>
  <cellStyleXfs count="1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0" borderId="0"/>
    <xf numFmtId="0" fontId="7" fillId="0" borderId="0"/>
    <xf numFmtId="44" fontId="16" fillId="0" borderId="0" applyFont="0" applyFill="0" applyBorder="0" applyAlignment="0" applyProtection="0"/>
    <xf numFmtId="0" fontId="1" fillId="0" borderId="0"/>
    <xf numFmtId="0" fontId="18" fillId="0" borderId="0"/>
    <xf numFmtId="0" fontId="18" fillId="0" borderId="0"/>
    <xf numFmtId="0" fontId="1" fillId="0" borderId="0"/>
    <xf numFmtId="0" fontId="26" fillId="0" borderId="0"/>
    <xf numFmtId="44" fontId="7" fillId="0" borderId="0" applyFont="0" applyFill="0" applyBorder="0" applyAlignment="0" applyProtection="0"/>
    <xf numFmtId="9" fontId="7" fillId="0" borderId="0" applyFont="0" applyFill="0" applyBorder="0" applyAlignment="0" applyProtection="0"/>
  </cellStyleXfs>
  <cellXfs count="636">
    <xf numFmtId="0" fontId="0" fillId="0" borderId="0" xfId="0"/>
    <xf numFmtId="10" fontId="1" fillId="0" borderId="1" xfId="4" applyNumberFormat="1" applyFont="1" applyBorder="1" applyAlignment="1">
      <alignment horizontal="center" wrapText="1"/>
    </xf>
    <xf numFmtId="164" fontId="1" fillId="0" borderId="0" xfId="4" applyNumberFormat="1" applyBorder="1" applyAlignment="1">
      <alignment horizontal="center" wrapText="1"/>
    </xf>
    <xf numFmtId="10" fontId="1" fillId="0" borderId="0" xfId="4" applyNumberFormat="1" applyFont="1" applyBorder="1" applyAlignment="1">
      <alignment horizontal="center" wrapText="1"/>
    </xf>
    <xf numFmtId="0" fontId="1" fillId="0" borderId="2" xfId="4" applyBorder="1"/>
    <xf numFmtId="10" fontId="1" fillId="0" borderId="1" xfId="4" applyNumberFormat="1" applyFill="1" applyBorder="1" applyAlignment="1">
      <alignment horizontal="center"/>
    </xf>
    <xf numFmtId="164" fontId="1" fillId="0" borderId="0" xfId="4" applyNumberFormat="1" applyFill="1" applyBorder="1" applyAlignment="1">
      <alignment horizontal="center" wrapText="1"/>
    </xf>
    <xf numFmtId="10" fontId="1" fillId="0" borderId="0" xfId="4" applyNumberFormat="1" applyFill="1" applyBorder="1" applyAlignment="1">
      <alignment horizontal="center" wrapText="1"/>
    </xf>
    <xf numFmtId="10" fontId="3" fillId="0" borderId="0" xfId="4" applyNumberFormat="1" applyFont="1" applyFill="1" applyBorder="1" applyAlignment="1">
      <alignment horizontal="center" wrapText="1"/>
    </xf>
    <xf numFmtId="0" fontId="0" fillId="0" borderId="2" xfId="4" applyFont="1" applyFill="1" applyBorder="1"/>
    <xf numFmtId="10" fontId="1" fillId="3" borderId="1" xfId="4" applyNumberFormat="1" applyFill="1" applyBorder="1" applyAlignment="1">
      <alignment horizontal="center"/>
    </xf>
    <xf numFmtId="164" fontId="1" fillId="3" borderId="0" xfId="4" applyNumberFormat="1" applyFill="1" applyBorder="1" applyAlignment="1">
      <alignment horizontal="center" wrapText="1"/>
    </xf>
    <xf numFmtId="10" fontId="1" fillId="3" borderId="0" xfId="4" applyNumberFormat="1" applyFill="1" applyBorder="1" applyAlignment="1">
      <alignment horizontal="center" wrapText="1"/>
    </xf>
    <xf numFmtId="10" fontId="3" fillId="3" borderId="0" xfId="4" applyNumberFormat="1" applyFont="1" applyFill="1" applyBorder="1" applyAlignment="1">
      <alignment horizontal="center" wrapText="1"/>
    </xf>
    <xf numFmtId="10" fontId="1" fillId="0" borderId="3" xfId="4" applyNumberFormat="1" applyFont="1" applyBorder="1" applyAlignment="1">
      <alignment horizontal="center" wrapText="1"/>
    </xf>
    <xf numFmtId="164" fontId="1" fillId="0" borderId="4" xfId="4" applyNumberFormat="1" applyBorder="1" applyAlignment="1">
      <alignment horizontal="center" wrapText="1"/>
    </xf>
    <xf numFmtId="10" fontId="1" fillId="0" borderId="4" xfId="4" applyNumberFormat="1" applyFont="1" applyBorder="1" applyAlignment="1">
      <alignment horizontal="center" wrapText="1"/>
    </xf>
    <xf numFmtId="164" fontId="0" fillId="0" borderId="4" xfId="4" applyNumberFormat="1" applyFont="1" applyBorder="1" applyAlignment="1">
      <alignment horizontal="center" wrapText="1"/>
    </xf>
    <xf numFmtId="0" fontId="1" fillId="0" borderId="5" xfId="4" applyBorder="1"/>
    <xf numFmtId="0" fontId="4" fillId="0" borderId="0" xfId="0" applyFont="1"/>
    <xf numFmtId="0" fontId="5" fillId="0" borderId="6" xfId="0" applyFont="1" applyBorder="1" applyAlignment="1">
      <alignment wrapText="1"/>
    </xf>
    <xf numFmtId="0" fontId="0" fillId="0" borderId="0" xfId="0" applyBorder="1" applyAlignment="1">
      <alignment horizontal="left" wrapText="1"/>
    </xf>
    <xf numFmtId="0" fontId="0" fillId="0" borderId="0" xfId="0" applyBorder="1"/>
    <xf numFmtId="14" fontId="0" fillId="0" borderId="0" xfId="0" applyNumberFormat="1" applyBorder="1" applyAlignment="1">
      <alignment horizontal="left" wrapText="1"/>
    </xf>
    <xf numFmtId="0" fontId="6" fillId="0" borderId="0" xfId="0" applyFont="1" applyBorder="1"/>
    <xf numFmtId="14" fontId="6" fillId="0" borderId="6" xfId="0" applyNumberFormat="1" applyFont="1" applyBorder="1" applyAlignment="1">
      <alignment horizontal="left"/>
    </xf>
    <xf numFmtId="0" fontId="0" fillId="0" borderId="0" xfId="0" applyBorder="1" applyAlignment="1">
      <alignment horizontal="left"/>
    </xf>
    <xf numFmtId="0" fontId="5" fillId="0" borderId="9" xfId="0" applyFont="1" applyBorder="1" applyAlignment="1">
      <alignment wrapText="1"/>
    </xf>
    <xf numFmtId="0" fontId="0" fillId="0" borderId="9" xfId="0" applyBorder="1" applyAlignment="1">
      <alignment wrapText="1"/>
    </xf>
    <xf numFmtId="0" fontId="0" fillId="0" borderId="0" xfId="0" applyAlignment="1">
      <alignment wrapText="1"/>
    </xf>
    <xf numFmtId="0" fontId="0" fillId="0" borderId="6" xfId="0" applyBorder="1" applyAlignment="1">
      <alignment horizontal="center" wrapText="1"/>
    </xf>
    <xf numFmtId="0" fontId="0" fillId="0" borderId="6" xfId="0" applyBorder="1" applyAlignment="1">
      <alignment horizontal="left" wrapText="1"/>
    </xf>
    <xf numFmtId="0" fontId="0" fillId="0" borderId="6" xfId="0" applyBorder="1" applyAlignment="1">
      <alignment horizontal="left" vertical="center" wrapText="1"/>
    </xf>
    <xf numFmtId="165" fontId="0" fillId="0" borderId="6" xfId="1" applyNumberFormat="1" applyFont="1" applyBorder="1" applyAlignment="1">
      <alignment wrapText="1"/>
    </xf>
    <xf numFmtId="14" fontId="0" fillId="0" borderId="6" xfId="0" applyNumberFormat="1" applyBorder="1" applyAlignment="1">
      <alignment wrapText="1"/>
    </xf>
    <xf numFmtId="9" fontId="0" fillId="0" borderId="6" xfId="2" applyFont="1" applyBorder="1" applyAlignment="1">
      <alignment horizontal="center" wrapText="1"/>
    </xf>
    <xf numFmtId="165" fontId="0" fillId="0" borderId="8" xfId="1" applyNumberFormat="1" applyFont="1" applyBorder="1" applyAlignment="1">
      <alignment wrapText="1"/>
    </xf>
    <xf numFmtId="0" fontId="0" fillId="0" borderId="6" xfId="0" applyBorder="1" applyAlignment="1">
      <alignment horizontal="center"/>
    </xf>
    <xf numFmtId="0" fontId="0" fillId="0" borderId="6" xfId="0" applyBorder="1" applyAlignment="1">
      <alignment vertical="top" wrapText="1"/>
    </xf>
    <xf numFmtId="42" fontId="0" fillId="0" borderId="6" xfId="1" applyNumberFormat="1" applyFont="1" applyBorder="1" applyAlignment="1">
      <alignment wrapText="1"/>
    </xf>
    <xf numFmtId="42" fontId="0" fillId="0" borderId="6" xfId="1" applyNumberFormat="1" applyFont="1" applyBorder="1"/>
    <xf numFmtId="14" fontId="0" fillId="0" borderId="6" xfId="0" applyNumberFormat="1" applyBorder="1"/>
    <xf numFmtId="42" fontId="0" fillId="0" borderId="8" xfId="1" applyNumberFormat="1" applyFont="1" applyBorder="1"/>
    <xf numFmtId="0" fontId="0" fillId="0" borderId="6" xfId="0" applyBorder="1" applyAlignment="1">
      <alignment wrapText="1"/>
    </xf>
    <xf numFmtId="42" fontId="0" fillId="0" borderId="8" xfId="1" applyNumberFormat="1" applyFont="1" applyBorder="1" applyAlignment="1">
      <alignment wrapText="1"/>
    </xf>
    <xf numFmtId="0" fontId="0" fillId="0" borderId="6" xfId="0" applyBorder="1" applyAlignment="1">
      <alignment vertical="center" wrapText="1"/>
    </xf>
    <xf numFmtId="0" fontId="0" fillId="0" borderId="6" xfId="0" applyBorder="1" applyAlignment="1">
      <alignment horizontal="center" vertical="center"/>
    </xf>
    <xf numFmtId="166" fontId="0" fillId="0" borderId="6" xfId="0" applyNumberFormat="1" applyBorder="1"/>
    <xf numFmtId="0" fontId="0" fillId="0" borderId="6" xfId="0" applyFont="1" applyBorder="1" applyAlignment="1">
      <alignment wrapText="1"/>
    </xf>
    <xf numFmtId="164" fontId="0" fillId="0" borderId="6" xfId="0" applyNumberFormat="1" applyBorder="1"/>
    <xf numFmtId="0" fontId="0" fillId="0" borderId="12" xfId="0" applyBorder="1" applyAlignment="1">
      <alignment wrapText="1"/>
    </xf>
    <xf numFmtId="0" fontId="0" fillId="0" borderId="14" xfId="0" applyFill="1" applyBorder="1" applyAlignment="1">
      <alignment wrapText="1"/>
    </xf>
    <xf numFmtId="166" fontId="0" fillId="0" borderId="6" xfId="1" applyNumberFormat="1" applyFont="1" applyBorder="1" applyAlignment="1">
      <alignment wrapText="1"/>
    </xf>
    <xf numFmtId="42" fontId="0" fillId="0" borderId="6" xfId="0" applyNumberFormat="1" applyBorder="1" applyAlignment="1">
      <alignment horizontal="right"/>
    </xf>
    <xf numFmtId="0" fontId="0" fillId="0" borderId="6" xfId="0" applyBorder="1"/>
    <xf numFmtId="166" fontId="0" fillId="0" borderId="6" xfId="1" applyNumberFormat="1" applyFont="1" applyBorder="1"/>
    <xf numFmtId="0" fontId="0" fillId="0" borderId="6" xfId="0" applyBorder="1" applyAlignment="1">
      <alignment horizontal="right"/>
    </xf>
    <xf numFmtId="0" fontId="0" fillId="0" borderId="12" xfId="0" applyFill="1" applyBorder="1" applyAlignment="1">
      <alignment wrapText="1"/>
    </xf>
    <xf numFmtId="0" fontId="0" fillId="0" borderId="10" xfId="0" applyBorder="1" applyAlignment="1">
      <alignment horizontal="center" wrapText="1"/>
    </xf>
    <xf numFmtId="166" fontId="0" fillId="0" borderId="10" xfId="0" applyNumberFormat="1" applyBorder="1"/>
    <xf numFmtId="166" fontId="0" fillId="0" borderId="10" xfId="1" applyNumberFormat="1" applyFont="1" applyBorder="1"/>
    <xf numFmtId="0" fontId="0" fillId="0" borderId="10" xfId="0" applyBorder="1"/>
    <xf numFmtId="165" fontId="0" fillId="0" borderId="10" xfId="1" applyNumberFormat="1" applyFont="1" applyBorder="1" applyAlignment="1">
      <alignment wrapText="1"/>
    </xf>
    <xf numFmtId="0" fontId="0" fillId="0" borderId="6" xfId="0" applyBorder="1" applyAlignment="1"/>
    <xf numFmtId="0" fontId="0" fillId="0" borderId="0" xfId="0" applyBorder="1" applyAlignment="1">
      <alignment horizontal="center"/>
    </xf>
    <xf numFmtId="0" fontId="0" fillId="0" borderId="0" xfId="0" applyBorder="1" applyAlignment="1"/>
    <xf numFmtId="0" fontId="5" fillId="0" borderId="15" xfId="0" applyFont="1" applyBorder="1" applyAlignment="1">
      <alignment horizontal="center"/>
    </xf>
    <xf numFmtId="165" fontId="5" fillId="0" borderId="16" xfId="0" applyNumberFormat="1" applyFont="1" applyBorder="1"/>
    <xf numFmtId="165" fontId="5" fillId="0" borderId="17" xfId="0" applyNumberFormat="1" applyFont="1" applyBorder="1"/>
    <xf numFmtId="0" fontId="0" fillId="0" borderId="18" xfId="0" applyBorder="1"/>
    <xf numFmtId="0" fontId="0" fillId="0" borderId="4" xfId="0" applyBorder="1"/>
    <xf numFmtId="165" fontId="5" fillId="0" borderId="19" xfId="1" applyNumberFormat="1" applyFont="1" applyBorder="1" applyAlignment="1">
      <alignment wrapText="1"/>
    </xf>
    <xf numFmtId="166" fontId="0" fillId="0" borderId="6" xfId="0" applyNumberFormat="1" applyBorder="1" applyAlignment="1">
      <alignment wrapText="1"/>
    </xf>
    <xf numFmtId="0" fontId="0" fillId="0" borderId="0" xfId="0" applyBorder="1" applyAlignment="1">
      <alignment wrapText="1"/>
    </xf>
    <xf numFmtId="0" fontId="6" fillId="0" borderId="0" xfId="0" applyFont="1" applyBorder="1" applyAlignment="1">
      <alignment wrapText="1"/>
    </xf>
    <xf numFmtId="14" fontId="6" fillId="0" borderId="0" xfId="0" applyNumberFormat="1" applyFont="1" applyFill="1" applyBorder="1" applyAlignment="1">
      <alignment horizontal="left" wrapText="1"/>
    </xf>
    <xf numFmtId="15" fontId="0" fillId="0" borderId="6" xfId="0" applyNumberFormat="1" applyBorder="1" applyAlignment="1">
      <alignment wrapText="1"/>
    </xf>
    <xf numFmtId="42" fontId="0" fillId="0" borderId="6" xfId="0" applyNumberFormat="1" applyBorder="1" applyAlignment="1">
      <alignment wrapText="1"/>
    </xf>
    <xf numFmtId="0" fontId="0" fillId="0" borderId="0" xfId="0" applyBorder="1" applyAlignment="1">
      <alignment horizontal="center" wrapText="1"/>
    </xf>
    <xf numFmtId="0" fontId="5" fillId="0" borderId="15" xfId="0" applyFont="1" applyBorder="1" applyAlignment="1">
      <alignment horizontal="center" wrapText="1"/>
    </xf>
    <xf numFmtId="165" fontId="5" fillId="0" borderId="16" xfId="0" applyNumberFormat="1" applyFont="1" applyBorder="1" applyAlignment="1">
      <alignment wrapText="1"/>
    </xf>
    <xf numFmtId="0" fontId="0" fillId="0" borderId="18" xfId="0" applyBorder="1" applyAlignment="1">
      <alignment wrapText="1"/>
    </xf>
    <xf numFmtId="0" fontId="0" fillId="0" borderId="4" xfId="0" applyBorder="1" applyAlignment="1">
      <alignment wrapText="1"/>
    </xf>
    <xf numFmtId="0" fontId="10" fillId="0" borderId="0" xfId="0" applyFont="1"/>
    <xf numFmtId="0" fontId="11" fillId="0" borderId="6" xfId="0" applyFont="1" applyBorder="1" applyAlignment="1">
      <alignment wrapText="1"/>
    </xf>
    <xf numFmtId="0" fontId="10" fillId="0" borderId="0" xfId="0" applyFont="1" applyBorder="1" applyAlignment="1">
      <alignment horizontal="left" wrapText="1"/>
    </xf>
    <xf numFmtId="0" fontId="10" fillId="0" borderId="0" xfId="0" applyFont="1" applyBorder="1"/>
    <xf numFmtId="14" fontId="10" fillId="0" borderId="0" xfId="0" applyNumberFormat="1" applyFont="1" applyBorder="1" applyAlignment="1">
      <alignment horizontal="left" wrapText="1"/>
    </xf>
    <xf numFmtId="0" fontId="13" fillId="0" borderId="0" xfId="0" applyFont="1" applyBorder="1"/>
    <xf numFmtId="14" fontId="13" fillId="0" borderId="6" xfId="0" applyNumberFormat="1" applyFont="1" applyBorder="1" applyAlignment="1">
      <alignment horizontal="left"/>
    </xf>
    <xf numFmtId="0" fontId="10" fillId="0" borderId="0" xfId="0" applyFont="1" applyBorder="1" applyAlignment="1">
      <alignment horizontal="left"/>
    </xf>
    <xf numFmtId="0" fontId="11" fillId="0" borderId="9" xfId="0" applyFont="1" applyBorder="1" applyAlignment="1">
      <alignment wrapText="1"/>
    </xf>
    <xf numFmtId="0" fontId="10" fillId="0" borderId="9" xfId="0" applyFont="1" applyBorder="1" applyAlignment="1">
      <alignment wrapText="1"/>
    </xf>
    <xf numFmtId="0" fontId="10" fillId="0" borderId="0" xfId="0" applyFont="1" applyAlignment="1">
      <alignment wrapText="1"/>
    </xf>
    <xf numFmtId="0" fontId="10" fillId="0" borderId="6" xfId="0" applyFont="1" applyBorder="1" applyAlignment="1">
      <alignment horizontal="center" wrapText="1"/>
    </xf>
    <xf numFmtId="0" fontId="10" fillId="0" borderId="6" xfId="0" applyFont="1" applyBorder="1" applyAlignment="1">
      <alignment horizontal="left" wrapText="1"/>
    </xf>
    <xf numFmtId="0" fontId="10" fillId="0" borderId="6" xfId="0" applyFont="1" applyFill="1" applyBorder="1" applyAlignment="1">
      <alignment horizontal="left" wrapText="1"/>
    </xf>
    <xf numFmtId="165" fontId="10" fillId="0" borderId="6" xfId="1" applyNumberFormat="1" applyFont="1" applyBorder="1" applyAlignment="1">
      <alignment wrapText="1"/>
    </xf>
    <xf numFmtId="165" fontId="10" fillId="0" borderId="6" xfId="1" applyNumberFormat="1" applyFont="1" applyFill="1" applyBorder="1" applyAlignment="1">
      <alignment wrapText="1"/>
    </xf>
    <xf numFmtId="0" fontId="10" fillId="0" borderId="6" xfId="0" applyFont="1" applyFill="1" applyBorder="1" applyAlignment="1">
      <alignment wrapText="1"/>
    </xf>
    <xf numFmtId="9" fontId="10" fillId="0" borderId="6" xfId="2" applyFont="1" applyFill="1" applyBorder="1" applyAlignment="1">
      <alignment horizontal="center" wrapText="1"/>
    </xf>
    <xf numFmtId="165" fontId="10" fillId="0" borderId="8" xfId="1" applyNumberFormat="1" applyFont="1" applyBorder="1" applyAlignment="1">
      <alignment wrapText="1"/>
    </xf>
    <xf numFmtId="0" fontId="10" fillId="0" borderId="6" xfId="0" applyFont="1" applyBorder="1" applyAlignment="1">
      <alignment horizontal="center"/>
    </xf>
    <xf numFmtId="42" fontId="10" fillId="0" borderId="6" xfId="1" applyNumberFormat="1" applyFont="1" applyBorder="1" applyAlignment="1">
      <alignment wrapText="1"/>
    </xf>
    <xf numFmtId="42" fontId="10" fillId="0" borderId="6" xfId="1" applyNumberFormat="1" applyFont="1" applyFill="1" applyBorder="1"/>
    <xf numFmtId="42" fontId="10" fillId="0" borderId="8" xfId="1" applyNumberFormat="1" applyFont="1" applyBorder="1"/>
    <xf numFmtId="42" fontId="10" fillId="0" borderId="8" xfId="1" applyNumberFormat="1" applyFont="1" applyBorder="1" applyAlignment="1">
      <alignment wrapText="1"/>
    </xf>
    <xf numFmtId="0" fontId="10" fillId="0" borderId="6" xfId="0" applyFont="1" applyBorder="1"/>
    <xf numFmtId="0" fontId="10" fillId="0" borderId="6" xfId="0" applyFont="1" applyBorder="1" applyAlignment="1">
      <alignment wrapText="1"/>
    </xf>
    <xf numFmtId="42" fontId="10" fillId="0" borderId="6" xfId="1" applyNumberFormat="1" applyFont="1" applyBorder="1"/>
    <xf numFmtId="42" fontId="10" fillId="0" borderId="6" xfId="0" applyNumberFormat="1" applyFont="1" applyBorder="1"/>
    <xf numFmtId="41" fontId="10" fillId="0" borderId="6" xfId="1" applyNumberFormat="1" applyFont="1" applyBorder="1"/>
    <xf numFmtId="0" fontId="10" fillId="0" borderId="8" xfId="0" applyFont="1" applyBorder="1"/>
    <xf numFmtId="0" fontId="14" fillId="0" borderId="6" xfId="0" applyFont="1" applyBorder="1" applyAlignment="1"/>
    <xf numFmtId="0" fontId="10" fillId="0" borderId="10" xfId="0" applyFont="1" applyBorder="1"/>
    <xf numFmtId="0" fontId="10" fillId="0" borderId="3" xfId="0" applyFont="1" applyBorder="1"/>
    <xf numFmtId="165" fontId="10" fillId="0" borderId="10" xfId="1" applyNumberFormat="1" applyFont="1" applyBorder="1" applyAlignment="1">
      <alignment wrapText="1"/>
    </xf>
    <xf numFmtId="0" fontId="10" fillId="0" borderId="0" xfId="0" applyFont="1" applyBorder="1" applyAlignment="1">
      <alignment horizontal="center"/>
    </xf>
    <xf numFmtId="0" fontId="10" fillId="0" borderId="0" xfId="0" applyFont="1" applyBorder="1" applyAlignment="1"/>
    <xf numFmtId="0" fontId="11" fillId="0" borderId="15" xfId="0" applyFont="1" applyBorder="1" applyAlignment="1">
      <alignment horizontal="center"/>
    </xf>
    <xf numFmtId="165" fontId="11" fillId="0" borderId="16" xfId="0" applyNumberFormat="1" applyFont="1" applyBorder="1"/>
    <xf numFmtId="165" fontId="11" fillId="0" borderId="17" xfId="0" applyNumberFormat="1" applyFont="1" applyBorder="1"/>
    <xf numFmtId="0" fontId="10" fillId="0" borderId="18" xfId="0" applyFont="1" applyBorder="1"/>
    <xf numFmtId="0" fontId="10" fillId="0" borderId="4" xfId="0" applyFont="1" applyBorder="1"/>
    <xf numFmtId="165" fontId="11" fillId="0" borderId="19" xfId="1" applyNumberFormat="1" applyFont="1" applyBorder="1" applyAlignment="1">
      <alignment wrapText="1"/>
    </xf>
    <xf numFmtId="42" fontId="10" fillId="0" borderId="6" xfId="1" applyNumberFormat="1" applyFont="1" applyFill="1" applyBorder="1" applyAlignment="1">
      <alignment wrapText="1"/>
    </xf>
    <xf numFmtId="17" fontId="10" fillId="0" borderId="6" xfId="0" applyNumberFormat="1" applyFont="1" applyFill="1" applyBorder="1" applyAlignment="1">
      <alignment wrapText="1"/>
    </xf>
    <xf numFmtId="14" fontId="6" fillId="0" borderId="0" xfId="0" applyNumberFormat="1" applyFont="1" applyBorder="1" applyAlignment="1">
      <alignment horizontal="left"/>
    </xf>
    <xf numFmtId="0" fontId="5" fillId="0" borderId="6" xfId="0" applyFont="1" applyBorder="1" applyAlignment="1">
      <alignment horizontal="center" vertical="center" wrapText="1"/>
    </xf>
    <xf numFmtId="42" fontId="0" fillId="0" borderId="6" xfId="1" applyNumberFormat="1" applyFont="1" applyBorder="1" applyAlignment="1">
      <alignment vertical="center" wrapText="1"/>
    </xf>
    <xf numFmtId="165" fontId="0" fillId="0" borderId="6" xfId="1" applyNumberFormat="1" applyFont="1" applyBorder="1" applyAlignment="1">
      <alignment vertical="center" wrapText="1"/>
    </xf>
    <xf numFmtId="9" fontId="0" fillId="0" borderId="6" xfId="2" applyFont="1" applyBorder="1" applyAlignment="1">
      <alignment horizontal="center" vertical="center" wrapText="1"/>
    </xf>
    <xf numFmtId="165" fontId="0" fillId="0" borderId="8" xfId="1" applyNumberFormat="1" applyFont="1" applyBorder="1" applyAlignment="1">
      <alignment vertical="center" wrapText="1"/>
    </xf>
    <xf numFmtId="0" fontId="0" fillId="0" borderId="6" xfId="0" applyBorder="1" applyAlignment="1">
      <alignment vertical="center"/>
    </xf>
    <xf numFmtId="0" fontId="0" fillId="0" borderId="6" xfId="0" applyBorder="1" applyAlignment="1">
      <alignment horizontal="center" vertical="center" wrapText="1"/>
    </xf>
    <xf numFmtId="165" fontId="0" fillId="0" borderId="10" xfId="1" applyNumberFormat="1" applyFont="1" applyBorder="1" applyAlignment="1">
      <alignment vertical="center" wrapText="1"/>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5" fillId="0" borderId="4" xfId="0" applyFont="1" applyBorder="1" applyAlignment="1">
      <alignment horizontal="center" vertical="center"/>
    </xf>
    <xf numFmtId="0" fontId="0" fillId="0" borderId="15" xfId="0" applyBorder="1" applyAlignment="1">
      <alignment vertical="center"/>
    </xf>
    <xf numFmtId="165" fontId="5" fillId="0" borderId="16" xfId="0" applyNumberFormat="1" applyFont="1" applyBorder="1" applyAlignment="1">
      <alignment vertical="center"/>
    </xf>
    <xf numFmtId="165" fontId="5" fillId="0" borderId="17" xfId="0" applyNumberFormat="1" applyFont="1" applyBorder="1" applyAlignment="1">
      <alignment vertical="center"/>
    </xf>
    <xf numFmtId="0" fontId="0" fillId="0" borderId="4" xfId="0" applyBorder="1" applyAlignment="1">
      <alignment vertical="center"/>
    </xf>
    <xf numFmtId="165" fontId="5" fillId="0" borderId="19" xfId="1" applyNumberFormat="1" applyFont="1" applyBorder="1" applyAlignment="1">
      <alignment vertical="center" wrapText="1"/>
    </xf>
    <xf numFmtId="0" fontId="0" fillId="0" borderId="18" xfId="0" applyBorder="1" applyAlignment="1">
      <alignment vertical="center"/>
    </xf>
    <xf numFmtId="0" fontId="0" fillId="0" borderId="10" xfId="0" applyBorder="1" applyAlignment="1">
      <alignment vertical="center" wrapText="1"/>
    </xf>
    <xf numFmtId="165" fontId="0" fillId="0" borderId="0" xfId="0" applyNumberFormat="1"/>
    <xf numFmtId="165" fontId="0" fillId="3" borderId="6" xfId="1" applyNumberFormat="1" applyFont="1" applyFill="1" applyBorder="1" applyAlignment="1">
      <alignment vertical="center" wrapText="1"/>
    </xf>
    <xf numFmtId="42" fontId="0" fillId="0" borderId="6" xfId="0" applyNumberFormat="1" applyBorder="1" applyAlignment="1">
      <alignment vertical="center"/>
    </xf>
    <xf numFmtId="42" fontId="0" fillId="0" borderId="8" xfId="1" applyNumberFormat="1" applyFont="1" applyBorder="1" applyAlignment="1">
      <alignment vertical="center" wrapText="1"/>
    </xf>
    <xf numFmtId="0" fontId="0" fillId="0" borderId="6" xfId="0" applyFill="1" applyBorder="1" applyAlignment="1">
      <alignment vertical="center" wrapText="1"/>
    </xf>
    <xf numFmtId="0" fontId="0" fillId="3" borderId="6" xfId="0" applyFill="1" applyBorder="1" applyAlignment="1">
      <alignment horizontal="center" vertical="center" wrapText="1"/>
    </xf>
    <xf numFmtId="0" fontId="0" fillId="3" borderId="0" xfId="0" applyFill="1" applyBorder="1" applyAlignment="1">
      <alignment vertical="center"/>
    </xf>
    <xf numFmtId="0" fontId="5" fillId="0" borderId="15" xfId="0" applyFont="1" applyBorder="1" applyAlignment="1">
      <alignment horizontal="center" vertical="center"/>
    </xf>
    <xf numFmtId="165" fontId="5" fillId="0" borderId="20" xfId="0" applyNumberFormat="1" applyFont="1" applyBorder="1" applyAlignment="1">
      <alignment vertical="center"/>
    </xf>
    <xf numFmtId="42" fontId="0" fillId="0" borderId="6" xfId="0" applyNumberFormat="1" applyBorder="1" applyAlignment="1">
      <alignment vertical="center" wrapText="1"/>
    </xf>
    <xf numFmtId="9" fontId="0" fillId="0" borderId="6" xfId="2" applyFont="1" applyBorder="1" applyAlignment="1">
      <alignment vertical="center" wrapText="1"/>
    </xf>
    <xf numFmtId="165" fontId="0" fillId="3" borderId="6" xfId="0" applyNumberFormat="1" applyFill="1" applyBorder="1" applyAlignment="1">
      <alignment vertical="center" wrapText="1"/>
    </xf>
    <xf numFmtId="0" fontId="0" fillId="0" borderId="8" xfId="0" applyBorder="1" applyAlignment="1">
      <alignment vertical="center" wrapText="1"/>
    </xf>
    <xf numFmtId="165" fontId="0" fillId="3" borderId="10" xfId="0" applyNumberFormat="1" applyFill="1" applyBorder="1" applyAlignment="1">
      <alignment vertical="center" wrapText="1"/>
    </xf>
    <xf numFmtId="0" fontId="0" fillId="0" borderId="3" xfId="0" applyBorder="1" applyAlignment="1">
      <alignment vertical="center" wrapText="1"/>
    </xf>
    <xf numFmtId="0" fontId="0" fillId="0" borderId="6" xfId="0" applyFont="1" applyBorder="1" applyAlignment="1">
      <alignment vertical="center" wrapText="1"/>
    </xf>
    <xf numFmtId="44" fontId="0" fillId="0" borderId="6" xfId="1" applyNumberFormat="1" applyFont="1" applyBorder="1" applyAlignment="1">
      <alignment wrapText="1"/>
    </xf>
    <xf numFmtId="167" fontId="0" fillId="0" borderId="6" xfId="1" applyNumberFormat="1" applyFont="1" applyBorder="1" applyAlignment="1">
      <alignment wrapText="1"/>
    </xf>
    <xf numFmtId="0" fontId="0" fillId="0" borderId="0" xfId="0" applyFont="1" applyBorder="1" applyAlignment="1">
      <alignment horizontal="center"/>
    </xf>
    <xf numFmtId="0" fontId="0" fillId="0" borderId="0" xfId="0" applyFont="1" applyBorder="1" applyAlignment="1">
      <alignment wrapText="1"/>
    </xf>
    <xf numFmtId="0" fontId="0" fillId="0" borderId="4" xfId="0" applyBorder="1" applyAlignment="1">
      <alignment horizontal="center"/>
    </xf>
    <xf numFmtId="44" fontId="0" fillId="0" borderId="0" xfId="0" applyNumberFormat="1" applyBorder="1"/>
    <xf numFmtId="9" fontId="0" fillId="0" borderId="4" xfId="2" applyFont="1" applyBorder="1" applyAlignment="1">
      <alignment horizontal="center" wrapText="1"/>
    </xf>
    <xf numFmtId="9" fontId="0" fillId="0" borderId="4" xfId="2" applyFont="1" applyBorder="1" applyAlignment="1">
      <alignment horizontal="center"/>
    </xf>
    <xf numFmtId="165" fontId="0" fillId="0" borderId="0" xfId="1" applyNumberFormat="1" applyFont="1" applyBorder="1" applyAlignment="1">
      <alignment wrapText="1"/>
    </xf>
    <xf numFmtId="0" fontId="5" fillId="0" borderId="21" xfId="0" applyFont="1" applyBorder="1" applyAlignment="1">
      <alignment horizontal="center"/>
    </xf>
    <xf numFmtId="0" fontId="0" fillId="0" borderId="20" xfId="0" applyBorder="1"/>
    <xf numFmtId="0" fontId="5" fillId="0" borderId="0" xfId="0" applyFont="1" applyBorder="1" applyAlignment="1"/>
    <xf numFmtId="0" fontId="0" fillId="0" borderId="0" xfId="0" applyBorder="1" applyAlignment="1">
      <alignment vertical="top" wrapText="1"/>
    </xf>
    <xf numFmtId="44" fontId="0" fillId="0" borderId="6" xfId="0" applyNumberFormat="1" applyBorder="1" applyAlignment="1">
      <alignment wrapText="1"/>
    </xf>
    <xf numFmtId="0" fontId="0" fillId="0" borderId="6" xfId="0" applyFont="1" applyBorder="1" applyAlignment="1">
      <alignment horizontal="center" wrapText="1"/>
    </xf>
    <xf numFmtId="44" fontId="0" fillId="0" borderId="10" xfId="0" applyNumberFormat="1" applyBorder="1" applyAlignment="1">
      <alignment wrapText="1"/>
    </xf>
    <xf numFmtId="0" fontId="0" fillId="0" borderId="10" xfId="0" applyBorder="1" applyAlignment="1">
      <alignment wrapText="1"/>
    </xf>
    <xf numFmtId="14" fontId="0" fillId="0" borderId="6" xfId="0" applyNumberFormat="1" applyBorder="1" applyAlignment="1">
      <alignment horizontal="right" wrapText="1"/>
    </xf>
    <xf numFmtId="49" fontId="5" fillId="0" borderId="6" xfId="0" applyNumberFormat="1" applyFont="1" applyBorder="1" applyAlignment="1">
      <alignment wrapText="1"/>
    </xf>
    <xf numFmtId="0" fontId="0" fillId="0" borderId="0" xfId="0" applyAlignment="1">
      <alignment horizontal="center" vertical="center"/>
    </xf>
    <xf numFmtId="9" fontId="0" fillId="0" borderId="0" xfId="0" applyNumberFormat="1" applyBorder="1" applyAlignment="1">
      <alignment horizontal="center" vertical="center"/>
    </xf>
    <xf numFmtId="9" fontId="0" fillId="0" borderId="0" xfId="0" applyNumberFormat="1" applyAlignment="1">
      <alignment horizontal="center" vertical="center"/>
    </xf>
    <xf numFmtId="165" fontId="0" fillId="0" borderId="0" xfId="1" applyNumberFormat="1" applyFont="1"/>
    <xf numFmtId="0" fontId="0" fillId="0" borderId="0" xfId="0" applyAlignment="1">
      <alignment horizontal="center"/>
    </xf>
    <xf numFmtId="0" fontId="6" fillId="0" borderId="0" xfId="0" applyFont="1" applyBorder="1" applyAlignment="1">
      <alignment horizontal="center" vertical="center"/>
    </xf>
    <xf numFmtId="49" fontId="5" fillId="0" borderId="9" xfId="0" applyNumberFormat="1" applyFont="1" applyBorder="1" applyAlignment="1">
      <alignment wrapText="1"/>
    </xf>
    <xf numFmtId="0" fontId="0" fillId="0" borderId="6" xfId="0" applyFont="1" applyFill="1" applyBorder="1" applyAlignment="1">
      <alignment vertical="center" wrapText="1"/>
    </xf>
    <xf numFmtId="0" fontId="0" fillId="0" borderId="4" xfId="0" applyFill="1" applyBorder="1"/>
    <xf numFmtId="49" fontId="0" fillId="0" borderId="0" xfId="0" applyNumberFormat="1" applyBorder="1" applyAlignment="1">
      <alignment horizontal="center"/>
    </xf>
    <xf numFmtId="0" fontId="0" fillId="0" borderId="18" xfId="0" applyBorder="1" applyAlignment="1">
      <alignment horizontal="center" vertical="center"/>
    </xf>
    <xf numFmtId="9" fontId="0" fillId="0" borderId="4" xfId="0" applyNumberFormat="1" applyBorder="1" applyAlignment="1">
      <alignment horizontal="center" vertical="center"/>
    </xf>
    <xf numFmtId="165" fontId="5" fillId="0" borderId="16" xfId="1" applyNumberFormat="1" applyFont="1" applyBorder="1"/>
    <xf numFmtId="165" fontId="5" fillId="0" borderId="17" xfId="1" applyNumberFormat="1" applyFont="1" applyBorder="1" applyAlignment="1">
      <alignment wrapText="1"/>
    </xf>
    <xf numFmtId="0" fontId="0" fillId="0" borderId="18" xfId="0" applyBorder="1" applyAlignment="1">
      <alignment horizontal="center"/>
    </xf>
    <xf numFmtId="49" fontId="0" fillId="0" borderId="6" xfId="0" applyNumberFormat="1" applyFont="1" applyBorder="1" applyAlignment="1">
      <alignment horizontal="center" vertical="center" wrapText="1"/>
    </xf>
    <xf numFmtId="165" fontId="0" fillId="0" borderId="6" xfId="0" applyNumberFormat="1" applyBorder="1" applyAlignment="1">
      <alignment vertical="center" wrapText="1"/>
    </xf>
    <xf numFmtId="14" fontId="0" fillId="0" borderId="6" xfId="0" applyNumberFormat="1" applyBorder="1" applyAlignment="1">
      <alignment horizontal="center" vertical="center" wrapText="1"/>
    </xf>
    <xf numFmtId="9" fontId="0" fillId="0" borderId="6" xfId="0" applyNumberFormat="1" applyBorder="1" applyAlignment="1">
      <alignment horizontal="center" vertical="center" wrapText="1"/>
    </xf>
    <xf numFmtId="49" fontId="0" fillId="0" borderId="6" xfId="0" applyNumberFormat="1" applyBorder="1" applyAlignment="1">
      <alignment horizontal="center" vertical="center" wrapText="1"/>
    </xf>
    <xf numFmtId="41" fontId="0" fillId="0" borderId="6" xfId="1" applyNumberFormat="1" applyFont="1" applyBorder="1" applyAlignment="1">
      <alignment vertical="center" wrapText="1"/>
    </xf>
    <xf numFmtId="14" fontId="0" fillId="0" borderId="6" xfId="0" applyNumberFormat="1" applyFill="1" applyBorder="1" applyAlignment="1">
      <alignment horizontal="center" vertical="center" wrapText="1"/>
    </xf>
    <xf numFmtId="9" fontId="0" fillId="0" borderId="6" xfId="0" applyNumberFormat="1" applyFill="1" applyBorder="1" applyAlignment="1">
      <alignment horizontal="center" vertical="center" wrapText="1"/>
    </xf>
    <xf numFmtId="165" fontId="0" fillId="0" borderId="10" xfId="0" applyNumberFormat="1" applyBorder="1" applyAlignment="1">
      <alignment vertical="center" wrapText="1"/>
    </xf>
    <xf numFmtId="9" fontId="0" fillId="0" borderId="10" xfId="0" applyNumberFormat="1" applyBorder="1" applyAlignment="1">
      <alignment horizontal="center" vertical="center" wrapText="1"/>
    </xf>
    <xf numFmtId="165" fontId="0" fillId="0" borderId="3" xfId="1" applyNumberFormat="1" applyFont="1" applyBorder="1" applyAlignment="1">
      <alignment vertical="center" wrapText="1"/>
    </xf>
    <xf numFmtId="0" fontId="0" fillId="0" borderId="10" xfId="0" applyBorder="1" applyAlignment="1">
      <alignment horizontal="center" vertical="center" wrapText="1"/>
    </xf>
    <xf numFmtId="0" fontId="8" fillId="0" borderId="0" xfId="5" applyFont="1" applyFill="1" applyAlignment="1">
      <alignment vertical="top" wrapText="1"/>
    </xf>
    <xf numFmtId="0" fontId="9" fillId="0" borderId="6" xfId="5" applyFont="1" applyFill="1" applyBorder="1" applyAlignment="1">
      <alignment vertical="top" wrapText="1"/>
    </xf>
    <xf numFmtId="0" fontId="15" fillId="0" borderId="0" xfId="3" applyFont="1" applyFill="1" applyBorder="1" applyAlignment="1">
      <alignment horizontal="left" vertical="top" wrapText="1"/>
    </xf>
    <xf numFmtId="0" fontId="8" fillId="0" borderId="0" xfId="5" applyFont="1" applyFill="1" applyBorder="1" applyAlignment="1">
      <alignment horizontal="left" vertical="top" wrapText="1"/>
    </xf>
    <xf numFmtId="42" fontId="8" fillId="0" borderId="0" xfId="6" applyNumberFormat="1" applyFont="1" applyFill="1" applyAlignment="1">
      <alignment horizontal="right" vertical="top" wrapText="1"/>
    </xf>
    <xf numFmtId="0" fontId="8" fillId="0" borderId="0" xfId="7" applyFont="1" applyAlignment="1">
      <alignment vertical="top"/>
    </xf>
    <xf numFmtId="0" fontId="8" fillId="0" borderId="0" xfId="7" applyFont="1" applyAlignment="1">
      <alignment horizontal="center" vertical="top"/>
    </xf>
    <xf numFmtId="14" fontId="15" fillId="0" borderId="0" xfId="3" applyNumberFormat="1" applyFont="1" applyFill="1" applyBorder="1" applyAlignment="1">
      <alignment horizontal="left" vertical="top" wrapText="1"/>
    </xf>
    <xf numFmtId="14" fontId="8" fillId="0" borderId="0" xfId="5" applyNumberFormat="1" applyFont="1" applyFill="1" applyBorder="1" applyAlignment="1">
      <alignment horizontal="left" vertical="top" wrapText="1"/>
    </xf>
    <xf numFmtId="0" fontId="9" fillId="0" borderId="0" xfId="5" applyFont="1" applyFill="1" applyBorder="1" applyAlignment="1">
      <alignment vertical="top" wrapText="1"/>
    </xf>
    <xf numFmtId="0" fontId="8" fillId="0" borderId="0" xfId="5" applyFont="1" applyFill="1" applyBorder="1" applyAlignment="1">
      <alignment vertical="top" wrapText="1"/>
    </xf>
    <xf numFmtId="0" fontId="15" fillId="0" borderId="0" xfId="3" applyFont="1" applyFill="1" applyAlignment="1">
      <alignment vertical="top" wrapText="1"/>
    </xf>
    <xf numFmtId="0" fontId="9" fillId="5" borderId="22" xfId="5" applyFont="1" applyFill="1" applyBorder="1" applyAlignment="1">
      <alignment horizontal="center" wrapText="1"/>
    </xf>
    <xf numFmtId="0" fontId="9" fillId="5" borderId="23" xfId="5" applyFont="1" applyFill="1" applyBorder="1" applyAlignment="1">
      <alignment horizontal="center" wrapText="1"/>
    </xf>
    <xf numFmtId="0" fontId="17" fillId="0" borderId="23" xfId="3" applyFont="1" applyFill="1" applyBorder="1" applyAlignment="1">
      <alignment horizontal="center" wrapText="1"/>
    </xf>
    <xf numFmtId="42" fontId="9" fillId="5" borderId="23" xfId="6" applyNumberFormat="1" applyFont="1" applyFill="1" applyBorder="1" applyAlignment="1">
      <alignment horizontal="center" wrapText="1"/>
    </xf>
    <xf numFmtId="0" fontId="9" fillId="5" borderId="23" xfId="0" applyFont="1" applyFill="1" applyBorder="1" applyAlignment="1">
      <alignment horizontal="center" wrapText="1"/>
    </xf>
    <xf numFmtId="9" fontId="9" fillId="5" borderId="23" xfId="2" applyFont="1" applyFill="1" applyBorder="1" applyAlignment="1">
      <alignment horizontal="center" wrapText="1"/>
    </xf>
    <xf numFmtId="9" fontId="9" fillId="5" borderId="23" xfId="2" applyNumberFormat="1" applyFont="1" applyFill="1" applyBorder="1" applyAlignment="1">
      <alignment horizontal="center" wrapText="1"/>
    </xf>
    <xf numFmtId="44" fontId="9" fillId="5" borderId="23" xfId="0" applyNumberFormat="1" applyFont="1" applyFill="1" applyBorder="1" applyAlignment="1">
      <alignment horizontal="center" wrapText="1"/>
    </xf>
    <xf numFmtId="0" fontId="9" fillId="5" borderId="24" xfId="0" applyFont="1" applyFill="1" applyBorder="1" applyAlignment="1">
      <alignment horizontal="center" wrapText="1"/>
    </xf>
    <xf numFmtId="0" fontId="18" fillId="0" borderId="25" xfId="8" applyFont="1" applyFill="1" applyBorder="1" applyAlignment="1">
      <alignment horizontal="center" vertical="top" wrapText="1"/>
    </xf>
    <xf numFmtId="0" fontId="8" fillId="0" borderId="6" xfId="7" applyFont="1" applyFill="1" applyBorder="1" applyAlignment="1">
      <alignment horizontal="center" vertical="top" wrapText="1"/>
    </xf>
    <xf numFmtId="0" fontId="18" fillId="0" borderId="6" xfId="9" applyFont="1" applyFill="1" applyBorder="1" applyAlignment="1">
      <alignment vertical="top" wrapText="1"/>
    </xf>
    <xf numFmtId="0" fontId="18" fillId="0" borderId="6" xfId="9" applyFont="1" applyFill="1" applyBorder="1" applyAlignment="1">
      <alignment horizontal="left" vertical="top" wrapText="1"/>
    </xf>
    <xf numFmtId="0" fontId="15" fillId="0" borderId="6" xfId="3" applyFont="1" applyFill="1" applyBorder="1" applyAlignment="1">
      <alignment horizontal="left" vertical="top" wrapText="1"/>
    </xf>
    <xf numFmtId="42" fontId="8" fillId="0" borderId="6" xfId="5" applyNumberFormat="1" applyFont="1" applyFill="1" applyBorder="1" applyAlignment="1">
      <alignment vertical="top" wrapText="1"/>
    </xf>
    <xf numFmtId="42" fontId="8" fillId="0" borderId="6" xfId="6" applyNumberFormat="1" applyFont="1" applyFill="1" applyBorder="1" applyAlignment="1">
      <alignment horizontal="right" vertical="top" wrapText="1"/>
    </xf>
    <xf numFmtId="0" fontId="8" fillId="0" borderId="6" xfId="7" applyFont="1" applyBorder="1" applyAlignment="1">
      <alignment vertical="top"/>
    </xf>
    <xf numFmtId="42" fontId="8" fillId="0" borderId="6" xfId="7" applyNumberFormat="1" applyFont="1" applyBorder="1" applyAlignment="1">
      <alignment vertical="top"/>
    </xf>
    <xf numFmtId="0" fontId="8" fillId="0" borderId="26" xfId="7" applyFont="1" applyBorder="1" applyAlignment="1">
      <alignment horizontal="center" vertical="top"/>
    </xf>
    <xf numFmtId="0" fontId="8" fillId="0" borderId="6" xfId="5" applyFont="1" applyFill="1" applyBorder="1" applyAlignment="1">
      <alignment horizontal="center" vertical="top" wrapText="1"/>
    </xf>
    <xf numFmtId="0" fontId="8" fillId="0" borderId="6" xfId="5" applyFont="1" applyFill="1" applyBorder="1" applyAlignment="1">
      <alignment vertical="top" wrapText="1"/>
    </xf>
    <xf numFmtId="0" fontId="8" fillId="0" borderId="6" xfId="5" applyFont="1" applyFill="1" applyBorder="1" applyAlignment="1">
      <alignment horizontal="left" vertical="top" wrapText="1"/>
    </xf>
    <xf numFmtId="0" fontId="8" fillId="0" borderId="6" xfId="7" applyFont="1" applyFill="1" applyBorder="1" applyAlignment="1">
      <alignment horizontal="left" vertical="top" wrapText="1"/>
    </xf>
    <xf numFmtId="16" fontId="18" fillId="0" borderId="6" xfId="8" quotePrefix="1" applyNumberFormat="1" applyFont="1" applyFill="1" applyBorder="1" applyAlignment="1">
      <alignment horizontal="center" vertical="top" wrapText="1"/>
    </xf>
    <xf numFmtId="0" fontId="18" fillId="0" borderId="6" xfId="8" applyFont="1" applyFill="1" applyBorder="1" applyAlignment="1">
      <alignment horizontal="left" vertical="top" wrapText="1"/>
    </xf>
    <xf numFmtId="0" fontId="8" fillId="0" borderId="6" xfId="10" applyFont="1" applyFill="1" applyBorder="1" applyAlignment="1">
      <alignment vertical="top" wrapText="1"/>
    </xf>
    <xf numFmtId="0" fontId="18" fillId="0" borderId="6" xfId="8" applyFont="1" applyFill="1" applyBorder="1" applyAlignment="1">
      <alignment horizontal="center" vertical="top" wrapText="1"/>
    </xf>
    <xf numFmtId="42" fontId="18" fillId="0" borderId="6" xfId="6" applyNumberFormat="1" applyFont="1" applyFill="1" applyBorder="1" applyAlignment="1">
      <alignment horizontal="right" vertical="top" wrapText="1"/>
    </xf>
    <xf numFmtId="42" fontId="8" fillId="0" borderId="10" xfId="6" applyNumberFormat="1" applyFont="1" applyFill="1" applyBorder="1" applyAlignment="1">
      <alignment horizontal="right" vertical="top" wrapText="1"/>
    </xf>
    <xf numFmtId="0" fontId="19" fillId="0" borderId="0" xfId="8" applyFont="1" applyFill="1" applyBorder="1" applyAlignment="1">
      <alignment horizontal="center" vertical="top" wrapText="1"/>
    </xf>
    <xf numFmtId="0" fontId="9" fillId="0" borderId="0" xfId="5" applyFont="1" applyFill="1" applyBorder="1" applyAlignment="1">
      <alignment horizontal="left" vertical="top" wrapText="1"/>
    </xf>
    <xf numFmtId="0" fontId="17" fillId="0" borderId="0" xfId="3" applyFont="1" applyFill="1" applyBorder="1" applyAlignment="1">
      <alignment horizontal="left" vertical="top" wrapText="1"/>
    </xf>
    <xf numFmtId="0" fontId="17" fillId="0" borderId="0" xfId="0" applyFont="1" applyFill="1" applyBorder="1" applyAlignment="1">
      <alignment vertical="top" wrapText="1"/>
    </xf>
    <xf numFmtId="165" fontId="17" fillId="0" borderId="17" xfId="0" applyNumberFormat="1" applyFont="1" applyFill="1" applyBorder="1" applyAlignment="1">
      <alignment vertical="top" wrapText="1"/>
    </xf>
    <xf numFmtId="0" fontId="8" fillId="0" borderId="6" xfId="7" applyFont="1" applyFill="1" applyBorder="1" applyAlignment="1">
      <alignment vertical="top"/>
    </xf>
    <xf numFmtId="0" fontId="8" fillId="0" borderId="6" xfId="7" applyFont="1" applyBorder="1" applyAlignment="1">
      <alignment vertical="top" wrapText="1"/>
    </xf>
    <xf numFmtId="42" fontId="8" fillId="0" borderId="6" xfId="7" applyNumberFormat="1" applyFont="1" applyBorder="1" applyAlignment="1">
      <alignment vertical="top" wrapText="1"/>
    </xf>
    <xf numFmtId="0" fontId="8" fillId="0" borderId="26" xfId="7" applyFont="1" applyBorder="1" applyAlignment="1">
      <alignment horizontal="center" vertical="top" wrapText="1"/>
    </xf>
    <xf numFmtId="14" fontId="8" fillId="0" borderId="6" xfId="7" applyNumberFormat="1" applyFont="1" applyBorder="1" applyAlignment="1">
      <alignment vertical="top" wrapText="1"/>
    </xf>
    <xf numFmtId="0" fontId="0" fillId="0" borderId="0" xfId="0" applyFont="1" applyAlignment="1">
      <alignment horizontal="left"/>
    </xf>
    <xf numFmtId="0" fontId="5" fillId="0" borderId="6" xfId="0" applyFont="1" applyBorder="1" applyAlignment="1">
      <alignment horizontal="left" wrapText="1"/>
    </xf>
    <xf numFmtId="0" fontId="0" fillId="0" borderId="0" xfId="0" applyFont="1" applyBorder="1" applyAlignment="1">
      <alignment horizontal="center" vertical="center" wrapText="1"/>
    </xf>
    <xf numFmtId="164" fontId="0" fillId="0" borderId="0" xfId="0" applyNumberFormat="1" applyFont="1" applyBorder="1" applyAlignment="1">
      <alignment horizontal="left" wrapText="1"/>
    </xf>
    <xf numFmtId="168" fontId="20" fillId="0" borderId="0" xfId="0" applyNumberFormat="1" applyFont="1" applyAlignment="1">
      <alignment horizontal="left"/>
    </xf>
    <xf numFmtId="0" fontId="20" fillId="0" borderId="0" xfId="0" applyNumberFormat="1" applyFont="1" applyBorder="1" applyAlignment="1">
      <alignment horizontal="left"/>
    </xf>
    <xf numFmtId="0" fontId="20" fillId="0" borderId="0" xfId="0" applyNumberFormat="1" applyFont="1" applyAlignment="1" applyProtection="1">
      <alignment horizontal="left"/>
      <protection locked="0"/>
    </xf>
    <xf numFmtId="14" fontId="0" fillId="0" borderId="0" xfId="0" applyNumberFormat="1" applyFont="1" applyBorder="1" applyAlignment="1">
      <alignment horizontal="center" vertical="center" wrapText="1"/>
    </xf>
    <xf numFmtId="0" fontId="0" fillId="0" borderId="0" xfId="0" applyFont="1" applyBorder="1" applyAlignment="1">
      <alignment horizontal="left"/>
    </xf>
    <xf numFmtId="168" fontId="21" fillId="0" borderId="0" xfId="0" applyNumberFormat="1" applyFont="1" applyBorder="1" applyAlignment="1">
      <alignment horizontal="left"/>
    </xf>
    <xf numFmtId="0" fontId="20" fillId="0" borderId="0" xfId="0" applyNumberFormat="1" applyFont="1" applyBorder="1" applyAlignment="1" applyProtection="1">
      <alignment horizontal="left"/>
      <protection locked="0"/>
    </xf>
    <xf numFmtId="0" fontId="0" fillId="0" borderId="0" xfId="0" applyFont="1" applyBorder="1" applyAlignment="1">
      <alignment horizontal="center" vertical="center"/>
    </xf>
    <xf numFmtId="164" fontId="0" fillId="0" borderId="0" xfId="0" applyNumberFormat="1" applyFont="1" applyBorder="1" applyAlignment="1">
      <alignment horizontal="left"/>
    </xf>
    <xf numFmtId="0" fontId="20" fillId="0" borderId="0" xfId="0" applyNumberFormat="1" applyFont="1" applyAlignment="1">
      <alignment horizontal="left"/>
    </xf>
    <xf numFmtId="0" fontId="5"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center" vertical="center" wrapText="1"/>
    </xf>
    <xf numFmtId="164" fontId="0" fillId="0" borderId="0" xfId="0" applyNumberFormat="1" applyFont="1" applyAlignment="1">
      <alignment horizontal="left" wrapText="1"/>
    </xf>
    <xf numFmtId="0" fontId="22" fillId="0" borderId="0" xfId="0" applyFont="1" applyAlignment="1">
      <alignment horizontal="left"/>
    </xf>
    <xf numFmtId="0" fontId="22" fillId="0" borderId="0" xfId="0" applyNumberFormat="1" applyFont="1" applyAlignment="1">
      <alignment horizontal="left"/>
    </xf>
    <xf numFmtId="0" fontId="22" fillId="0" borderId="0" xfId="0" applyNumberFormat="1" applyFont="1" applyAlignment="1" applyProtection="1">
      <alignment horizontal="left"/>
      <protection locked="0"/>
    </xf>
    <xf numFmtId="0" fontId="0" fillId="0" borderId="22" xfId="0" applyFont="1" applyFill="1" applyBorder="1" applyAlignment="1">
      <alignment horizontal="center" vertical="center" wrapText="1"/>
    </xf>
    <xf numFmtId="49" fontId="24" fillId="0" borderId="23"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23" xfId="0" applyFont="1" applyFill="1" applyBorder="1" applyAlignment="1">
      <alignment horizontal="center" vertical="center" wrapText="1"/>
    </xf>
    <xf numFmtId="164" fontId="0" fillId="0" borderId="23" xfId="0" applyNumberFormat="1" applyFont="1" applyFill="1" applyBorder="1" applyAlignment="1">
      <alignment horizontal="center" vertical="center" wrapText="1"/>
    </xf>
    <xf numFmtId="164" fontId="24" fillId="0" borderId="23" xfId="0" applyNumberFormat="1" applyFont="1" applyFill="1" applyBorder="1" applyAlignment="1">
      <alignment horizontal="center" vertical="center" wrapText="1"/>
    </xf>
    <xf numFmtId="168" fontId="24" fillId="0" borderId="23" xfId="2" applyNumberFormat="1" applyFont="1" applyFill="1" applyBorder="1" applyAlignment="1">
      <alignment horizontal="center" vertical="center" wrapText="1"/>
    </xf>
    <xf numFmtId="9" fontId="24" fillId="0" borderId="23" xfId="2" applyFont="1" applyFill="1" applyBorder="1" applyAlignment="1">
      <alignment horizontal="center" vertical="center" wrapText="1"/>
    </xf>
    <xf numFmtId="9" fontId="24" fillId="0" borderId="23" xfId="2" applyNumberFormat="1" applyFont="1" applyFill="1" applyBorder="1" applyAlignment="1" applyProtection="1">
      <alignment horizontal="center" vertical="center" wrapText="1"/>
      <protection locked="0"/>
    </xf>
    <xf numFmtId="5" fontId="24" fillId="0" borderId="23" xfId="1" applyNumberFormat="1" applyFont="1" applyFill="1" applyBorder="1" applyAlignment="1">
      <alignment horizontal="center" vertical="center" wrapText="1"/>
    </xf>
    <xf numFmtId="5" fontId="24" fillId="0" borderId="24" xfId="1"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ont="1" applyFill="1" applyBorder="1" applyAlignment="1">
      <alignment horizontal="center" vertical="center" wrapText="1"/>
    </xf>
    <xf numFmtId="164" fontId="0"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wrapText="1"/>
    </xf>
    <xf numFmtId="168" fontId="24" fillId="0" borderId="6" xfId="2" applyNumberFormat="1" applyFont="1" applyFill="1" applyBorder="1" applyAlignment="1">
      <alignment horizontal="center" vertical="center" wrapText="1"/>
    </xf>
    <xf numFmtId="9" fontId="24" fillId="0" borderId="6" xfId="2" applyFont="1" applyFill="1" applyBorder="1" applyAlignment="1">
      <alignment horizontal="center" vertical="center" wrapText="1"/>
    </xf>
    <xf numFmtId="9" fontId="24" fillId="0" borderId="6" xfId="2" applyNumberFormat="1" applyFont="1" applyFill="1" applyBorder="1" applyAlignment="1" applyProtection="1">
      <alignment horizontal="center" vertical="center" wrapText="1"/>
      <protection locked="0"/>
    </xf>
    <xf numFmtId="5" fontId="24" fillId="0" borderId="6" xfId="1" applyNumberFormat="1" applyFont="1" applyFill="1" applyBorder="1" applyAlignment="1">
      <alignment horizontal="center" vertical="center" wrapText="1"/>
    </xf>
    <xf numFmtId="5" fontId="24" fillId="0" borderId="26" xfId="1" applyNumberFormat="1" applyFont="1" applyFill="1" applyBorder="1" applyAlignment="1">
      <alignment horizontal="center" vertical="center" wrapText="1"/>
    </xf>
    <xf numFmtId="0" fontId="24" fillId="0" borderId="6" xfId="0" applyFont="1" applyFill="1" applyBorder="1" applyAlignment="1">
      <alignment horizontal="left" vertical="center" wrapText="1"/>
    </xf>
    <xf numFmtId="0" fontId="5" fillId="0" borderId="26" xfId="0" applyFont="1" applyFill="1" applyBorder="1" applyAlignment="1">
      <alignment horizontal="center" vertical="center" wrapText="1"/>
    </xf>
    <xf numFmtId="9" fontId="0" fillId="0" borderId="6" xfId="2" applyFont="1" applyFill="1" applyBorder="1" applyAlignment="1">
      <alignment horizontal="left" vertical="center" wrapText="1"/>
    </xf>
    <xf numFmtId="9" fontId="24" fillId="0" borderId="6" xfId="2" applyFont="1" applyFill="1" applyBorder="1" applyAlignment="1">
      <alignment horizontal="left" vertical="center" wrapText="1"/>
    </xf>
    <xf numFmtId="0" fontId="0" fillId="0" borderId="32" xfId="0" applyFont="1" applyFill="1" applyBorder="1" applyAlignment="1">
      <alignment horizontal="center" vertical="center" wrapText="1"/>
    </xf>
    <xf numFmtId="49" fontId="24" fillId="0" borderId="30" xfId="0" applyNumberFormat="1"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30" xfId="0" applyFont="1" applyFill="1" applyBorder="1" applyAlignment="1">
      <alignment horizontal="center" vertical="center" wrapText="1"/>
    </xf>
    <xf numFmtId="164" fontId="0" fillId="0" borderId="30" xfId="0" applyNumberFormat="1" applyFont="1" applyFill="1" applyBorder="1" applyAlignment="1">
      <alignment horizontal="center" vertical="center" wrapText="1"/>
    </xf>
    <xf numFmtId="164" fontId="24" fillId="0" borderId="30" xfId="0" applyNumberFormat="1" applyFont="1" applyFill="1" applyBorder="1" applyAlignment="1">
      <alignment horizontal="center" vertical="center" wrapText="1"/>
    </xf>
    <xf numFmtId="168" fontId="24" fillId="0" borderId="30" xfId="2" applyNumberFormat="1" applyFont="1" applyFill="1" applyBorder="1" applyAlignment="1">
      <alignment horizontal="center" vertical="center" wrapText="1"/>
    </xf>
    <xf numFmtId="9" fontId="24" fillId="0" borderId="30" xfId="2" applyFont="1" applyFill="1" applyBorder="1" applyAlignment="1">
      <alignment horizontal="center" vertical="center" wrapText="1"/>
    </xf>
    <xf numFmtId="9" fontId="24" fillId="0" borderId="30" xfId="2" applyNumberFormat="1" applyFont="1" applyFill="1" applyBorder="1" applyAlignment="1" applyProtection="1">
      <alignment horizontal="center" vertical="center" wrapText="1"/>
      <protection locked="0"/>
    </xf>
    <xf numFmtId="5" fontId="24" fillId="0" borderId="30" xfId="1"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0" fontId="22" fillId="0" borderId="6" xfId="0" applyNumberFormat="1" applyFont="1" applyFill="1" applyBorder="1" applyAlignment="1">
      <alignment horizontal="center" vertical="center" wrapText="1"/>
    </xf>
    <xf numFmtId="0" fontId="22" fillId="0" borderId="6" xfId="0" applyNumberFormat="1" applyFont="1" applyFill="1" applyBorder="1" applyAlignment="1" applyProtection="1">
      <alignment horizontal="center" vertical="center" wrapText="1"/>
      <protection locked="0"/>
    </xf>
    <xf numFmtId="5" fontId="24" fillId="0" borderId="31" xfId="1" applyNumberFormat="1" applyFont="1" applyFill="1" applyBorder="1" applyAlignment="1">
      <alignment horizontal="center" vertical="center" wrapText="1"/>
    </xf>
    <xf numFmtId="0" fontId="5" fillId="0" borderId="21" xfId="0" applyFont="1" applyBorder="1" applyAlignment="1">
      <alignment horizontal="center" vertical="center"/>
    </xf>
    <xf numFmtId="165" fontId="5" fillId="0" borderId="33" xfId="0" applyNumberFormat="1" applyFont="1" applyBorder="1"/>
    <xf numFmtId="0" fontId="0" fillId="0" borderId="20" xfId="0" applyFont="1" applyBorder="1"/>
    <xf numFmtId="0" fontId="0" fillId="0" borderId="0" xfId="0" applyFont="1" applyBorder="1"/>
    <xf numFmtId="165" fontId="5" fillId="0" borderId="34" xfId="0" applyNumberFormat="1" applyFont="1" applyBorder="1"/>
    <xf numFmtId="165" fontId="5" fillId="0" borderId="35" xfId="1" applyNumberFormat="1" applyFont="1" applyBorder="1" applyAlignment="1">
      <alignment wrapText="1"/>
    </xf>
    <xf numFmtId="165" fontId="0" fillId="0" borderId="24" xfId="0" applyNumberFormat="1" applyFont="1" applyFill="1" applyBorder="1" applyAlignment="1">
      <alignment horizontal="center" vertical="center" wrapText="1"/>
    </xf>
    <xf numFmtId="165" fontId="0" fillId="0" borderId="26" xfId="0" applyNumberFormat="1" applyFont="1" applyFill="1" applyBorder="1" applyAlignment="1">
      <alignment horizontal="center" vertical="center" wrapText="1"/>
    </xf>
    <xf numFmtId="165" fontId="0" fillId="0" borderId="31"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169" fontId="0" fillId="0" borderId="26" xfId="0" applyNumberFormat="1" applyFont="1" applyFill="1" applyBorder="1" applyAlignment="1">
      <alignment horizontal="center" vertical="center" wrapText="1"/>
    </xf>
    <xf numFmtId="0" fontId="0" fillId="0" borderId="0" xfId="0" applyAlignment="1">
      <alignment vertical="center"/>
    </xf>
    <xf numFmtId="0" fontId="5" fillId="0" borderId="6" xfId="0" applyFont="1" applyBorder="1" applyAlignment="1">
      <alignment vertical="center" wrapText="1"/>
    </xf>
    <xf numFmtId="0" fontId="0" fillId="0" borderId="0" xfId="0" applyBorder="1" applyAlignment="1">
      <alignment horizontal="left" vertical="center" wrapText="1"/>
    </xf>
    <xf numFmtId="42" fontId="0" fillId="0" borderId="0" xfId="1" applyNumberFormat="1" applyFont="1" applyAlignment="1">
      <alignment vertical="center"/>
    </xf>
    <xf numFmtId="14" fontId="0" fillId="0" borderId="0" xfId="0" applyNumberFormat="1" applyBorder="1" applyAlignment="1">
      <alignment horizontal="left" vertical="center" wrapText="1"/>
    </xf>
    <xf numFmtId="42" fontId="0" fillId="0" borderId="0" xfId="1" applyNumberFormat="1" applyFont="1" applyBorder="1" applyAlignment="1">
      <alignment vertical="center"/>
    </xf>
    <xf numFmtId="14" fontId="6" fillId="0" borderId="6" xfId="0" applyNumberFormat="1" applyFont="1" applyBorder="1" applyAlignment="1">
      <alignment horizontal="left" vertical="center"/>
    </xf>
    <xf numFmtId="0" fontId="0" fillId="0" borderId="0" xfId="0" applyBorder="1" applyAlignment="1">
      <alignment horizontal="left" vertical="center"/>
    </xf>
    <xf numFmtId="0" fontId="5" fillId="0" borderId="9" xfId="0" applyFont="1"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6" xfId="0" applyFill="1" applyBorder="1" applyAlignment="1">
      <alignment horizontal="center" vertical="center" wrapText="1"/>
    </xf>
    <xf numFmtId="0" fontId="0" fillId="0" borderId="6" xfId="5" applyFont="1" applyBorder="1" applyAlignment="1">
      <alignment vertical="center" wrapText="1"/>
    </xf>
    <xf numFmtId="42" fontId="24" fillId="0" borderId="6" xfId="1" applyNumberFormat="1" applyFont="1" applyBorder="1" applyAlignment="1">
      <alignment horizontal="center" vertical="center" wrapText="1"/>
    </xf>
    <xf numFmtId="42" fontId="0" fillId="0" borderId="6" xfId="1" applyNumberFormat="1" applyFont="1" applyBorder="1" applyAlignment="1">
      <alignment horizontal="center" vertical="center" wrapText="1"/>
    </xf>
    <xf numFmtId="49" fontId="0" fillId="0" borderId="6" xfId="0" applyNumberFormat="1" applyBorder="1" applyAlignment="1">
      <alignment horizontal="center" vertical="center"/>
    </xf>
    <xf numFmtId="0" fontId="0" fillId="0" borderId="6" xfId="0" applyFill="1" applyBorder="1" applyAlignment="1">
      <alignment horizontal="center" vertical="center"/>
    </xf>
    <xf numFmtId="0" fontId="0" fillId="0" borderId="6" xfId="5" applyFont="1" applyBorder="1" applyAlignment="1">
      <alignment horizontal="left" vertical="center" wrapText="1"/>
    </xf>
    <xf numFmtId="41" fontId="0" fillId="0" borderId="6" xfId="1" applyNumberFormat="1" applyFont="1" applyBorder="1" applyAlignment="1">
      <alignment horizontal="center" vertical="center" wrapText="1"/>
    </xf>
    <xf numFmtId="41" fontId="0" fillId="0" borderId="6" xfId="1" applyNumberFormat="1" applyFont="1" applyBorder="1" applyAlignment="1">
      <alignment vertical="center"/>
    </xf>
    <xf numFmtId="9" fontId="0" fillId="0" borderId="6" xfId="0" applyNumberFormat="1" applyBorder="1" applyAlignment="1">
      <alignment horizontal="center" vertical="center"/>
    </xf>
    <xf numFmtId="42" fontId="0" fillId="0" borderId="10" xfId="1" applyNumberFormat="1" applyFont="1" applyBorder="1" applyAlignment="1">
      <alignment vertical="center" wrapText="1"/>
    </xf>
    <xf numFmtId="41" fontId="0" fillId="0" borderId="10" xfId="1" applyNumberFormat="1" applyFont="1" applyBorder="1" applyAlignment="1">
      <alignment vertical="center"/>
    </xf>
    <xf numFmtId="42" fontId="0" fillId="0" borderId="3" xfId="1" applyNumberFormat="1" applyFont="1" applyBorder="1" applyAlignment="1">
      <alignment vertical="center"/>
    </xf>
    <xf numFmtId="42" fontId="5" fillId="0" borderId="6" xfId="1" applyNumberFormat="1" applyFont="1" applyBorder="1" applyAlignment="1">
      <alignment vertical="center"/>
    </xf>
    <xf numFmtId="44" fontId="0" fillId="0" borderId="4" xfId="1" applyFont="1" applyBorder="1" applyAlignment="1">
      <alignment horizontal="center" vertical="center"/>
    </xf>
    <xf numFmtId="42" fontId="0" fillId="0" borderId="4" xfId="0" applyNumberFormat="1" applyBorder="1" applyAlignment="1">
      <alignment horizontal="center" vertical="center"/>
    </xf>
    <xf numFmtId="0" fontId="0" fillId="0" borderId="4" xfId="0" applyBorder="1" applyAlignment="1">
      <alignment horizontal="center" vertical="center"/>
    </xf>
    <xf numFmtId="165" fontId="5" fillId="0" borderId="6" xfId="0" applyNumberFormat="1" applyFont="1" applyBorder="1" applyAlignment="1">
      <alignment vertical="center"/>
    </xf>
    <xf numFmtId="42" fontId="0" fillId="0" borderId="0" xfId="0" applyNumberFormat="1" applyAlignment="1">
      <alignment horizontal="center" vertical="center"/>
    </xf>
    <xf numFmtId="42" fontId="0" fillId="0" borderId="0" xfId="0" applyNumberFormat="1" applyBorder="1" applyAlignment="1">
      <alignment horizontal="center" vertical="center"/>
    </xf>
    <xf numFmtId="42" fontId="6" fillId="0" borderId="0" xfId="0" applyNumberFormat="1" applyFont="1" applyBorder="1" applyAlignment="1">
      <alignment horizontal="center" vertical="center"/>
    </xf>
    <xf numFmtId="0" fontId="5" fillId="0" borderId="10" xfId="0" applyFont="1" applyBorder="1" applyAlignment="1">
      <alignment wrapText="1"/>
    </xf>
    <xf numFmtId="0" fontId="5" fillId="0" borderId="11" xfId="0" applyFont="1" applyBorder="1" applyAlignment="1">
      <alignment wrapText="1"/>
    </xf>
    <xf numFmtId="0" fontId="5" fillId="0" borderId="10" xfId="0" applyFont="1" applyBorder="1" applyAlignment="1">
      <alignment vertical="center" wrapText="1"/>
    </xf>
    <xf numFmtId="42" fontId="5" fillId="0" borderId="6" xfId="1" applyNumberFormat="1" applyFont="1" applyBorder="1" applyAlignment="1">
      <alignment horizontal="center" vertical="center" wrapText="1"/>
    </xf>
    <xf numFmtId="42" fontId="5" fillId="0" borderId="6" xfId="0" applyNumberFormat="1" applyFont="1" applyBorder="1" applyAlignment="1">
      <alignment horizontal="center" vertical="center" wrapText="1"/>
    </xf>
    <xf numFmtId="42" fontId="0" fillId="0" borderId="6" xfId="0" applyNumberFormat="1" applyBorder="1" applyAlignment="1">
      <alignment horizontal="center" vertical="center" wrapText="1"/>
    </xf>
    <xf numFmtId="42" fontId="0" fillId="0" borderId="6" xfId="1" applyNumberFormat="1" applyFont="1" applyBorder="1" applyAlignment="1">
      <alignment vertical="center"/>
    </xf>
    <xf numFmtId="42" fontId="0" fillId="0" borderId="6" xfId="0" applyNumberFormat="1" applyBorder="1" applyAlignment="1">
      <alignment horizontal="center" vertical="center"/>
    </xf>
    <xf numFmtId="42" fontId="0" fillId="0" borderId="10" xfId="1" applyNumberFormat="1" applyFont="1" applyBorder="1" applyAlignment="1">
      <alignment vertical="center"/>
    </xf>
    <xf numFmtId="42" fontId="0" fillId="0" borderId="10" xfId="0" applyNumberFormat="1" applyBorder="1" applyAlignment="1">
      <alignment horizontal="center" vertical="center"/>
    </xf>
    <xf numFmtId="0" fontId="5" fillId="0" borderId="0" xfId="0" applyFont="1" applyBorder="1" applyAlignment="1">
      <alignment vertical="center"/>
    </xf>
    <xf numFmtId="42" fontId="5" fillId="0" borderId="0" xfId="1" applyNumberFormat="1" applyFont="1" applyBorder="1" applyAlignment="1">
      <alignment vertical="center"/>
    </xf>
    <xf numFmtId="42" fontId="0" fillId="0" borderId="0" xfId="1" applyNumberFormat="1" applyFont="1" applyBorder="1" applyAlignment="1">
      <alignment vertical="center" wrapText="1"/>
    </xf>
    <xf numFmtId="42" fontId="5" fillId="0" borderId="0" xfId="0" applyNumberFormat="1" applyFont="1" applyBorder="1" applyAlignment="1">
      <alignment horizontal="center" vertical="center"/>
    </xf>
    <xf numFmtId="0" fontId="0" fillId="0" borderId="0" xfId="0" applyBorder="1" applyAlignment="1">
      <alignment vertical="center" wrapText="1"/>
    </xf>
    <xf numFmtId="42" fontId="0" fillId="0" borderId="0" xfId="0" applyNumberFormat="1" applyBorder="1" applyAlignment="1">
      <alignment horizontal="center" vertical="center" wrapText="1"/>
    </xf>
    <xf numFmtId="0" fontId="27" fillId="6" borderId="6" xfId="11" applyFont="1" applyFill="1" applyBorder="1" applyAlignment="1" applyProtection="1">
      <alignment horizontal="center" vertical="top" wrapText="1"/>
    </xf>
    <xf numFmtId="0" fontId="28" fillId="0" borderId="6" xfId="11" applyFont="1" applyBorder="1" applyAlignment="1" applyProtection="1">
      <alignment vertical="center"/>
      <protection locked="0"/>
    </xf>
    <xf numFmtId="0" fontId="26" fillId="0" borderId="6" xfId="11" applyFont="1" applyBorder="1" applyProtection="1">
      <protection locked="0"/>
    </xf>
    <xf numFmtId="0" fontId="28" fillId="0" borderId="6" xfId="11" applyFont="1" applyBorder="1" applyAlignment="1" applyProtection="1">
      <alignment horizontal="center" vertical="center"/>
    </xf>
    <xf numFmtId="0" fontId="26" fillId="0" borderId="0" xfId="11" applyProtection="1">
      <protection locked="0"/>
    </xf>
    <xf numFmtId="5" fontId="7" fillId="0" borderId="6" xfId="12" applyNumberFormat="1" applyFont="1" applyBorder="1" applyAlignment="1">
      <alignment horizontal="right" vertical="top" wrapText="1"/>
    </xf>
    <xf numFmtId="0" fontId="24" fillId="0" borderId="6" xfId="11" applyFont="1" applyBorder="1" applyAlignment="1" applyProtection="1">
      <alignment horizontal="center"/>
      <protection locked="0"/>
    </xf>
    <xf numFmtId="0" fontId="28" fillId="7" borderId="6" xfId="11" applyFont="1" applyFill="1" applyBorder="1" applyAlignment="1" applyProtection="1">
      <alignment vertical="center"/>
      <protection locked="0"/>
    </xf>
    <xf numFmtId="0" fontId="26" fillId="7" borderId="6" xfId="11" applyFont="1" applyFill="1" applyBorder="1" applyProtection="1">
      <protection locked="0"/>
    </xf>
    <xf numFmtId="0" fontId="28" fillId="7" borderId="6" xfId="11" applyFont="1" applyFill="1" applyBorder="1" applyAlignment="1" applyProtection="1">
      <alignment horizontal="center" vertical="center"/>
    </xf>
    <xf numFmtId="5" fontId="7" fillId="7" borderId="6" xfId="12" applyNumberFormat="1" applyFont="1" applyFill="1" applyBorder="1" applyAlignment="1">
      <alignment horizontal="right" vertical="top" wrapText="1"/>
    </xf>
    <xf numFmtId="0" fontId="24" fillId="7" borderId="6" xfId="11" applyFont="1" applyFill="1" applyBorder="1" applyAlignment="1" applyProtection="1">
      <alignment horizontal="center"/>
      <protection locked="0"/>
    </xf>
    <xf numFmtId="0" fontId="0" fillId="0" borderId="6" xfId="0" quotePrefix="1" applyBorder="1" applyAlignment="1">
      <alignment horizontal="center" wrapText="1"/>
    </xf>
    <xf numFmtId="42" fontId="0" fillId="0" borderId="6" xfId="12" applyNumberFormat="1" applyFont="1" applyBorder="1" applyAlignment="1">
      <alignment wrapText="1"/>
    </xf>
    <xf numFmtId="165" fontId="0" fillId="0" borderId="6" xfId="12" applyNumberFormat="1" applyFont="1" applyBorder="1" applyAlignment="1">
      <alignment wrapText="1"/>
    </xf>
    <xf numFmtId="165" fontId="0" fillId="0" borderId="8" xfId="12" applyNumberFormat="1" applyFont="1" applyBorder="1" applyAlignment="1">
      <alignment wrapText="1"/>
    </xf>
    <xf numFmtId="0" fontId="29" fillId="0" borderId="6" xfId="0" applyFont="1" applyBorder="1" applyAlignment="1"/>
    <xf numFmtId="0" fontId="0" fillId="3" borderId="6" xfId="0" applyFill="1" applyBorder="1" applyAlignment="1">
      <alignment horizontal="left" wrapText="1"/>
    </xf>
    <xf numFmtId="165" fontId="0" fillId="3" borderId="6" xfId="12" applyNumberFormat="1" applyFont="1" applyFill="1" applyBorder="1" applyAlignment="1">
      <alignment wrapText="1"/>
    </xf>
    <xf numFmtId="165" fontId="0" fillId="0" borderId="10" xfId="12" applyNumberFormat="1" applyFont="1" applyBorder="1" applyAlignment="1">
      <alignment wrapText="1"/>
    </xf>
    <xf numFmtId="0" fontId="5" fillId="0" borderId="4" xfId="0" applyFont="1" applyBorder="1" applyAlignment="1">
      <alignment horizontal="center"/>
    </xf>
    <xf numFmtId="0" fontId="0" fillId="0" borderId="15" xfId="0" applyBorder="1"/>
    <xf numFmtId="0" fontId="0" fillId="5" borderId="2" xfId="4" applyFont="1" applyFill="1" applyBorder="1"/>
    <xf numFmtId="164" fontId="1" fillId="5" borderId="0" xfId="4" applyNumberFormat="1" applyFill="1" applyBorder="1" applyAlignment="1">
      <alignment horizontal="center" wrapText="1"/>
    </xf>
    <xf numFmtId="10" fontId="3" fillId="5" borderId="0" xfId="4" applyNumberFormat="1" applyFont="1" applyFill="1" applyBorder="1" applyAlignment="1">
      <alignment horizontal="center" wrapText="1"/>
    </xf>
    <xf numFmtId="10" fontId="1" fillId="5" borderId="0" xfId="4" applyNumberFormat="1" applyFill="1" applyBorder="1" applyAlignment="1">
      <alignment horizontal="center" wrapText="1"/>
    </xf>
    <xf numFmtId="10" fontId="1" fillId="5" borderId="1" xfId="4" applyNumberFormat="1" applyFill="1" applyBorder="1" applyAlignment="1">
      <alignment horizontal="center"/>
    </xf>
    <xf numFmtId="10" fontId="1" fillId="5" borderId="0" xfId="4" applyNumberFormat="1" applyFont="1" applyFill="1" applyBorder="1" applyAlignment="1">
      <alignment horizontal="center" wrapText="1"/>
    </xf>
    <xf numFmtId="0" fontId="1" fillId="5" borderId="2" xfId="4" applyFill="1" applyBorder="1"/>
    <xf numFmtId="0" fontId="30" fillId="0" borderId="2" xfId="4" applyFont="1" applyFill="1" applyBorder="1"/>
    <xf numFmtId="0" fontId="7" fillId="0" borderId="5" xfId="5" applyFont="1" applyBorder="1"/>
    <xf numFmtId="0" fontId="7" fillId="0" borderId="4" xfId="5" applyFont="1" applyBorder="1"/>
    <xf numFmtId="0" fontId="7" fillId="0" borderId="4" xfId="5" applyFont="1" applyBorder="1" applyAlignment="1">
      <alignment wrapText="1"/>
    </xf>
    <xf numFmtId="49" fontId="5" fillId="0" borderId="4" xfId="5" applyNumberFormat="1" applyFont="1" applyBorder="1" applyAlignment="1">
      <alignment wrapText="1"/>
    </xf>
    <xf numFmtId="5" fontId="7" fillId="0" borderId="5" xfId="1" applyNumberFormat="1" applyFont="1" applyFill="1" applyBorder="1" applyAlignment="1">
      <alignment horizontal="right"/>
    </xf>
    <xf numFmtId="0" fontId="7" fillId="0" borderId="4" xfId="5" applyFont="1" applyBorder="1" applyAlignment="1">
      <alignment horizontal="right"/>
    </xf>
    <xf numFmtId="0" fontId="7" fillId="0" borderId="4" xfId="5" applyFont="1" applyFill="1" applyBorder="1"/>
    <xf numFmtId="5" fontId="7" fillId="0" borderId="4" xfId="5" applyNumberFormat="1" applyFont="1" applyBorder="1" applyAlignment="1">
      <alignment horizontal="right"/>
    </xf>
    <xf numFmtId="0" fontId="7" fillId="0" borderId="3" xfId="5" applyFont="1" applyBorder="1" applyAlignment="1">
      <alignment horizontal="right" wrapText="1"/>
    </xf>
    <xf numFmtId="0" fontId="7" fillId="0" borderId="2" xfId="5" applyFont="1" applyBorder="1"/>
    <xf numFmtId="0" fontId="7" fillId="0" borderId="0" xfId="5" applyFont="1" applyBorder="1"/>
    <xf numFmtId="0" fontId="7" fillId="0" borderId="0" xfId="5" applyFont="1" applyBorder="1" applyAlignment="1">
      <alignment wrapText="1"/>
    </xf>
    <xf numFmtId="49" fontId="5" fillId="0" borderId="0" xfId="5" applyNumberFormat="1" applyFont="1" applyBorder="1" applyAlignment="1">
      <alignment wrapText="1"/>
    </xf>
    <xf numFmtId="5" fontId="7" fillId="0" borderId="2" xfId="1" applyNumberFormat="1" applyFont="1" applyFill="1" applyBorder="1" applyAlignment="1">
      <alignment horizontal="right"/>
    </xf>
    <xf numFmtId="0" fontId="7" fillId="0" borderId="0" xfId="5" applyFont="1" applyFill="1" applyBorder="1"/>
    <xf numFmtId="5" fontId="7" fillId="0" borderId="0" xfId="5" applyNumberFormat="1" applyFont="1" applyBorder="1" applyAlignment="1">
      <alignment horizontal="right"/>
    </xf>
    <xf numFmtId="0" fontId="7" fillId="0" borderId="1" xfId="5" applyFont="1" applyBorder="1" applyAlignment="1">
      <alignment wrapText="1"/>
    </xf>
    <xf numFmtId="0" fontId="7" fillId="0" borderId="13" xfId="5" applyFont="1" applyBorder="1"/>
    <xf numFmtId="0" fontId="7" fillId="0" borderId="9" xfId="5" applyFont="1" applyBorder="1"/>
    <xf numFmtId="0" fontId="7" fillId="0" borderId="9" xfId="5" applyFont="1" applyBorder="1" applyAlignment="1">
      <alignment wrapText="1"/>
    </xf>
    <xf numFmtId="49" fontId="5" fillId="0" borderId="9" xfId="5" applyNumberFormat="1" applyFont="1" applyBorder="1" applyAlignment="1">
      <alignment wrapText="1"/>
    </xf>
    <xf numFmtId="0" fontId="7" fillId="0" borderId="9" xfId="5" applyFont="1" applyFill="1" applyBorder="1" applyAlignment="1">
      <alignment wrapText="1"/>
    </xf>
    <xf numFmtId="0" fontId="7" fillId="0" borderId="36" xfId="5" applyFont="1" applyBorder="1" applyAlignment="1">
      <alignment wrapText="1"/>
    </xf>
    <xf numFmtId="0" fontId="7" fillId="0" borderId="13" xfId="5" applyFont="1" applyBorder="1" applyAlignment="1">
      <alignment wrapText="1"/>
    </xf>
    <xf numFmtId="164" fontId="7" fillId="0" borderId="12" xfId="5" applyNumberFormat="1" applyFont="1" applyBorder="1" applyAlignment="1"/>
    <xf numFmtId="5" fontId="7" fillId="0" borderId="13" xfId="1" applyNumberFormat="1" applyFont="1" applyBorder="1" applyAlignment="1">
      <alignment horizontal="right"/>
    </xf>
    <xf numFmtId="0" fontId="7" fillId="0" borderId="9" xfId="5" applyFont="1" applyBorder="1" applyAlignment="1">
      <alignment horizontal="right"/>
    </xf>
    <xf numFmtId="0" fontId="7" fillId="0" borderId="9" xfId="5" applyFont="1" applyFill="1" applyBorder="1"/>
    <xf numFmtId="5" fontId="7" fillId="0" borderId="9" xfId="5" applyNumberFormat="1" applyFont="1" applyBorder="1" applyAlignment="1">
      <alignment horizontal="right"/>
    </xf>
    <xf numFmtId="0" fontId="5" fillId="0" borderId="28" xfId="5" applyFont="1" applyBorder="1" applyAlignment="1">
      <alignment horizontal="center" wrapText="1"/>
    </xf>
    <xf numFmtId="0" fontId="5" fillId="0" borderId="11" xfId="5" applyFont="1" applyBorder="1" applyAlignment="1">
      <alignment horizontal="center" wrapText="1"/>
    </xf>
    <xf numFmtId="0" fontId="5" fillId="0" borderId="40" xfId="5" applyFont="1" applyBorder="1" applyAlignment="1">
      <alignment horizontal="center" wrapText="1"/>
    </xf>
    <xf numFmtId="0" fontId="5" fillId="0" borderId="12" xfId="5" applyFont="1" applyBorder="1" applyAlignment="1">
      <alignment horizontal="center" wrapText="1"/>
    </xf>
    <xf numFmtId="0" fontId="7" fillId="0" borderId="25" xfId="0" applyFont="1" applyFill="1" applyBorder="1" applyAlignment="1">
      <alignment horizontal="center" vertical="top"/>
    </xf>
    <xf numFmtId="0" fontId="7" fillId="0" borderId="8" xfId="0" applyFont="1" applyFill="1" applyBorder="1" applyAlignment="1">
      <alignment horizontal="center" vertical="top"/>
    </xf>
    <xf numFmtId="1" fontId="7" fillId="0" borderId="6" xfId="0" applyNumberFormat="1" applyFont="1" applyFill="1" applyBorder="1" applyAlignment="1">
      <alignment horizontal="center" vertical="top" wrapText="1"/>
    </xf>
    <xf numFmtId="49" fontId="7" fillId="0" borderId="6" xfId="0" applyNumberFormat="1" applyFont="1" applyFill="1" applyBorder="1" applyAlignment="1">
      <alignment vertical="top"/>
    </xf>
    <xf numFmtId="0" fontId="7" fillId="0" borderId="6" xfId="5" applyNumberFormat="1" applyFont="1" applyFill="1" applyBorder="1" applyAlignment="1">
      <alignment vertical="top" wrapText="1"/>
    </xf>
    <xf numFmtId="0" fontId="7" fillId="0" borderId="6" xfId="5" applyNumberFormat="1" applyFont="1" applyBorder="1" applyAlignment="1">
      <alignment vertical="top" wrapText="1"/>
    </xf>
    <xf numFmtId="0" fontId="7" fillId="0" borderId="6" xfId="5" applyFont="1" applyBorder="1" applyAlignment="1">
      <alignment horizontal="left" vertical="top" wrapText="1"/>
    </xf>
    <xf numFmtId="164" fontId="7" fillId="0" borderId="6" xfId="12" applyNumberFormat="1" applyFont="1" applyBorder="1" applyAlignment="1">
      <alignment vertical="top" wrapText="1"/>
    </xf>
    <xf numFmtId="5" fontId="7" fillId="0" borderId="6" xfId="1" applyNumberFormat="1" applyFont="1" applyFill="1" applyBorder="1" applyAlignment="1">
      <alignment horizontal="right" vertical="top"/>
    </xf>
    <xf numFmtId="14" fontId="7" fillId="0" borderId="6" xfId="5" applyNumberFormat="1" applyFont="1" applyFill="1" applyBorder="1" applyAlignment="1">
      <alignment horizontal="right" vertical="top" wrapText="1"/>
    </xf>
    <xf numFmtId="9" fontId="7" fillId="0" borderId="6" xfId="13" applyFont="1" applyBorder="1" applyAlignment="1">
      <alignment horizontal="center" vertical="top" wrapText="1"/>
    </xf>
    <xf numFmtId="9" fontId="7" fillId="0" borderId="6" xfId="13" applyFont="1" applyFill="1" applyBorder="1" applyAlignment="1">
      <alignment horizontal="center" vertical="top" wrapText="1"/>
    </xf>
    <xf numFmtId="0" fontId="7" fillId="0" borderId="26" xfId="5" applyFont="1" applyFill="1" applyBorder="1" applyAlignment="1">
      <alignment vertical="top" wrapText="1"/>
    </xf>
    <xf numFmtId="165" fontId="32" fillId="8" borderId="30" xfId="1" applyNumberFormat="1" applyFont="1" applyFill="1" applyBorder="1" applyAlignment="1">
      <alignment horizontal="left" vertical="center" wrapText="1"/>
    </xf>
    <xf numFmtId="165" fontId="32" fillId="8" borderId="30" xfId="12" applyNumberFormat="1" applyFont="1" applyFill="1" applyBorder="1" applyAlignment="1">
      <alignment vertical="center" wrapText="1"/>
    </xf>
    <xf numFmtId="44" fontId="7" fillId="8" borderId="30" xfId="5" applyNumberFormat="1" applyFont="1" applyFill="1" applyBorder="1" applyAlignment="1">
      <alignment horizontal="right" vertical="center" wrapText="1"/>
    </xf>
    <xf numFmtId="9" fontId="33" fillId="8" borderId="30" xfId="13" applyFont="1" applyFill="1" applyBorder="1" applyAlignment="1">
      <alignment horizontal="center" vertical="center" wrapText="1"/>
    </xf>
    <xf numFmtId="165" fontId="33" fillId="8" borderId="30" xfId="12" applyNumberFormat="1" applyFont="1" applyFill="1" applyBorder="1" applyAlignment="1">
      <alignment vertical="center" wrapText="1"/>
    </xf>
    <xf numFmtId="0" fontId="33" fillId="8" borderId="31" xfId="5" applyFont="1" applyFill="1" applyBorder="1" applyAlignment="1">
      <alignment vertical="top" wrapText="1"/>
    </xf>
    <xf numFmtId="49" fontId="7" fillId="0" borderId="45" xfId="0" applyNumberFormat="1" applyFont="1" applyFill="1" applyBorder="1" applyAlignment="1">
      <alignment horizontal="left" vertical="top"/>
    </xf>
    <xf numFmtId="170" fontId="36" fillId="0" borderId="45" xfId="0" applyNumberFormat="1" applyFont="1" applyFill="1" applyBorder="1" applyAlignment="1">
      <alignment horizontal="left" vertical="top" wrapText="1"/>
    </xf>
    <xf numFmtId="42" fontId="36" fillId="0" borderId="45" xfId="0" applyNumberFormat="1" applyFont="1" applyFill="1" applyBorder="1" applyAlignment="1">
      <alignment horizontal="left" vertical="top" wrapText="1"/>
    </xf>
    <xf numFmtId="7" fontId="7" fillId="0" borderId="26" xfId="5" applyNumberFormat="1" applyFont="1" applyFill="1" applyBorder="1" applyAlignment="1">
      <alignment vertical="top" wrapText="1"/>
    </xf>
    <xf numFmtId="42" fontId="36" fillId="0" borderId="45" xfId="0" applyNumberFormat="1" applyFont="1" applyFill="1" applyBorder="1" applyAlignment="1">
      <alignment horizontal="left" vertical="center" wrapText="1"/>
    </xf>
    <xf numFmtId="49" fontId="37" fillId="0" borderId="45" xfId="0" applyNumberFormat="1" applyFont="1" applyFill="1" applyBorder="1" applyAlignment="1">
      <alignment horizontal="left" vertical="top"/>
    </xf>
    <xf numFmtId="170" fontId="38" fillId="0" borderId="45" xfId="0" applyNumberFormat="1" applyFont="1" applyFill="1" applyBorder="1" applyAlignment="1">
      <alignment horizontal="center" vertical="top" wrapText="1"/>
    </xf>
    <xf numFmtId="0" fontId="7" fillId="0" borderId="0" xfId="5" applyFont="1" applyFill="1" applyBorder="1" applyAlignment="1">
      <alignment wrapText="1"/>
    </xf>
    <xf numFmtId="49" fontId="7" fillId="0" borderId="0" xfId="5" applyNumberFormat="1" applyFont="1" applyFill="1" applyBorder="1"/>
    <xf numFmtId="0" fontId="7" fillId="0" borderId="0" xfId="5" applyFont="1" applyFill="1" applyBorder="1" applyAlignment="1"/>
    <xf numFmtId="164" fontId="7" fillId="0" borderId="0" xfId="5" applyNumberFormat="1" applyFont="1" applyFill="1" applyBorder="1" applyAlignment="1"/>
    <xf numFmtId="5" fontId="7" fillId="0" borderId="0" xfId="1" applyNumberFormat="1" applyFont="1" applyFill="1" applyBorder="1" applyAlignment="1">
      <alignment horizontal="right"/>
    </xf>
    <xf numFmtId="0" fontId="7" fillId="0" borderId="0" xfId="5" applyFont="1" applyFill="1" applyBorder="1" applyAlignment="1">
      <alignment horizontal="right"/>
    </xf>
    <xf numFmtId="5" fontId="7" fillId="0" borderId="0" xfId="5" applyNumberFormat="1" applyFont="1" applyFill="1" applyBorder="1" applyAlignment="1">
      <alignment horizontal="right"/>
    </xf>
    <xf numFmtId="0" fontId="1" fillId="0" borderId="13" xfId="4" applyBorder="1"/>
    <xf numFmtId="164" fontId="1" fillId="0" borderId="9" xfId="4" applyNumberFormat="1" applyBorder="1" applyAlignment="1">
      <alignment horizontal="center" wrapText="1"/>
    </xf>
    <xf numFmtId="10" fontId="1" fillId="0" borderId="9" xfId="4" applyNumberFormat="1" applyFont="1" applyBorder="1" applyAlignment="1">
      <alignment horizontal="center" wrapText="1"/>
    </xf>
    <xf numFmtId="10" fontId="1" fillId="0" borderId="36" xfId="4" applyNumberFormat="1" applyFont="1" applyBorder="1" applyAlignment="1">
      <alignment horizontal="center" wrapText="1"/>
    </xf>
    <xf numFmtId="0" fontId="8" fillId="0" borderId="6" xfId="5" applyFont="1" applyFill="1" applyBorder="1" applyAlignment="1">
      <alignment vertical="top"/>
    </xf>
    <xf numFmtId="14" fontId="8" fillId="0" borderId="6" xfId="5" applyNumberFormat="1" applyFont="1" applyFill="1" applyBorder="1" applyAlignment="1">
      <alignment horizontal="left" vertical="top"/>
    </xf>
    <xf numFmtId="42" fontId="5" fillId="0" borderId="10" xfId="1" applyNumberFormat="1" applyFont="1" applyBorder="1" applyAlignment="1">
      <alignment horizontal="center" vertical="center" wrapText="1"/>
    </xf>
    <xf numFmtId="42" fontId="5" fillId="0" borderId="11" xfId="1" applyNumberFormat="1" applyFont="1" applyBorder="1" applyAlignment="1">
      <alignment horizontal="center" vertical="center" wrapText="1"/>
    </xf>
    <xf numFmtId="42" fontId="5" fillId="0" borderId="12" xfId="1"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42" fontId="5" fillId="0" borderId="6" xfId="1"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14" fontId="0" fillId="0" borderId="7" xfId="0" applyNumberFormat="1" applyBorder="1" applyAlignment="1">
      <alignment horizontal="left" vertical="center" wrapText="1"/>
    </xf>
    <xf numFmtId="14" fontId="0" fillId="0" borderId="8" xfId="0" applyNumberForma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5" fillId="0" borderId="7" xfId="0" applyFont="1" applyBorder="1" applyAlignment="1">
      <alignment horizontal="left" vertical="center" wrapText="1"/>
    </xf>
    <xf numFmtId="0" fontId="5" fillId="0" borderId="37" xfId="0" applyFont="1" applyBorder="1" applyAlignment="1">
      <alignment horizontal="left" vertical="center" wrapText="1"/>
    </xf>
    <xf numFmtId="0" fontId="5" fillId="0" borderId="8" xfId="0" applyFont="1" applyBorder="1" applyAlignment="1">
      <alignment horizontal="left" vertical="center" wrapText="1"/>
    </xf>
    <xf numFmtId="0" fontId="0" fillId="0" borderId="37" xfId="0" applyBorder="1" applyAlignment="1">
      <alignment horizontal="left" vertical="center" wrapText="1"/>
    </xf>
    <xf numFmtId="0" fontId="0" fillId="0" borderId="6" xfId="0" applyBorder="1" applyAlignment="1">
      <alignment horizontal="left" vertical="center" wrapText="1"/>
    </xf>
    <xf numFmtId="14" fontId="0" fillId="0" borderId="6" xfId="0" applyNumberFormat="1" applyBorder="1" applyAlignment="1">
      <alignment horizontal="left" vertical="center" wrapText="1"/>
    </xf>
    <xf numFmtId="0" fontId="0" fillId="0" borderId="6" xfId="0" applyBorder="1" applyAlignment="1">
      <alignment horizontal="lef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5" fillId="0" borderId="36" xfId="0" applyFont="1" applyBorder="1" applyAlignment="1">
      <alignment horizontal="left" vertical="center" wrapText="1"/>
    </xf>
    <xf numFmtId="0" fontId="0" fillId="0" borderId="7" xfId="0" applyFont="1" applyBorder="1" applyAlignment="1">
      <alignment horizontal="left" wrapText="1"/>
    </xf>
    <xf numFmtId="0" fontId="0" fillId="0" borderId="8" xfId="0" applyFont="1" applyBorder="1" applyAlignment="1">
      <alignment horizontal="left" wrapText="1"/>
    </xf>
    <xf numFmtId="14" fontId="0" fillId="0" borderId="7" xfId="0" applyNumberFormat="1" applyFont="1" applyBorder="1" applyAlignment="1">
      <alignment horizontal="left" wrapText="1"/>
    </xf>
    <xf numFmtId="14" fontId="0" fillId="0" borderId="8" xfId="0" applyNumberFormat="1" applyFont="1" applyBorder="1" applyAlignment="1">
      <alignment horizontal="left" wrapText="1"/>
    </xf>
    <xf numFmtId="0" fontId="0" fillId="0" borderId="7" xfId="0" applyFont="1" applyBorder="1" applyAlignment="1">
      <alignment horizontal="left"/>
    </xf>
    <xf numFmtId="0" fontId="0" fillId="0" borderId="8" xfId="0" applyFont="1" applyBorder="1" applyAlignment="1">
      <alignment horizontal="left"/>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1" xfId="0" applyFont="1" applyFill="1" applyBorder="1" applyAlignment="1">
      <alignment horizontal="center" vertical="center" wrapText="1"/>
    </xf>
    <xf numFmtId="164" fontId="5" fillId="0" borderId="23" xfId="0" applyNumberFormat="1"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164" fontId="5" fillId="0" borderId="30" xfId="0" applyNumberFormat="1" applyFont="1" applyFill="1" applyBorder="1" applyAlignment="1">
      <alignment horizontal="center" vertical="center" wrapText="1"/>
    </xf>
    <xf numFmtId="168" fontId="5" fillId="0" borderId="23" xfId="0" applyNumberFormat="1" applyFont="1" applyFill="1" applyBorder="1" applyAlignment="1">
      <alignment horizontal="center" vertical="center" wrapText="1"/>
    </xf>
    <xf numFmtId="168" fontId="5" fillId="0" borderId="6" xfId="0" applyNumberFormat="1" applyFont="1" applyFill="1" applyBorder="1" applyAlignment="1">
      <alignment horizontal="center" vertical="center" wrapText="1"/>
    </xf>
    <xf numFmtId="168" fontId="5" fillId="0" borderId="30" xfId="0" applyNumberFormat="1"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0" fillId="0" borderId="7" xfId="0" applyBorder="1" applyAlignment="1">
      <alignment horizontal="left" wrapText="1"/>
    </xf>
    <xf numFmtId="0" fontId="0" fillId="0" borderId="8" xfId="0" applyBorder="1" applyAlignment="1">
      <alignment horizontal="left" wrapText="1"/>
    </xf>
    <xf numFmtId="14" fontId="0" fillId="0" borderId="7" xfId="0" applyNumberFormat="1" applyBorder="1" applyAlignment="1">
      <alignment horizontal="left" wrapText="1"/>
    </xf>
    <xf numFmtId="14" fontId="0" fillId="0" borderId="8" xfId="0" applyNumberFormat="1" applyBorder="1" applyAlignment="1">
      <alignment horizontal="left" wrapText="1"/>
    </xf>
    <xf numFmtId="0" fontId="0" fillId="0" borderId="7" xfId="0" applyBorder="1" applyAlignment="1">
      <alignment horizontal="left"/>
    </xf>
    <xf numFmtId="0" fontId="0" fillId="0" borderId="8" xfId="0" applyBorder="1" applyAlignment="1">
      <alignment horizontal="left"/>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49" fontId="5" fillId="0" borderId="6" xfId="0" applyNumberFormat="1" applyFont="1" applyBorder="1" applyAlignment="1">
      <alignment horizontal="center" wrapText="1"/>
    </xf>
    <xf numFmtId="0" fontId="5" fillId="0" borderId="6" xfId="0" applyFont="1" applyBorder="1" applyAlignment="1">
      <alignment horizontal="center" wrapText="1"/>
    </xf>
    <xf numFmtId="165" fontId="5" fillId="0" borderId="10" xfId="1" applyNumberFormat="1" applyFont="1" applyBorder="1" applyAlignment="1">
      <alignment horizontal="center" wrapText="1"/>
    </xf>
    <xf numFmtId="165" fontId="5" fillId="0" borderId="11" xfId="1" applyNumberFormat="1" applyFont="1" applyBorder="1" applyAlignment="1">
      <alignment horizontal="center" wrapText="1"/>
    </xf>
    <xf numFmtId="165" fontId="5" fillId="0" borderId="12" xfId="1" applyNumberFormat="1" applyFont="1" applyBorder="1" applyAlignment="1">
      <alignment horizontal="center" wrapText="1"/>
    </xf>
    <xf numFmtId="165" fontId="5" fillId="0" borderId="6" xfId="0" applyNumberFormat="1" applyFont="1" applyBorder="1" applyAlignment="1">
      <alignment horizontal="center" wrapText="1"/>
    </xf>
    <xf numFmtId="9" fontId="5" fillId="0" borderId="5" xfId="0" applyNumberFormat="1" applyFont="1" applyBorder="1" applyAlignment="1">
      <alignment horizontal="center" wrapText="1"/>
    </xf>
    <xf numFmtId="9" fontId="5" fillId="0" borderId="2" xfId="0" applyNumberFormat="1" applyFont="1" applyBorder="1" applyAlignment="1">
      <alignment horizontal="center" wrapText="1"/>
    </xf>
    <xf numFmtId="9" fontId="5" fillId="0" borderId="13" xfId="0" applyNumberFormat="1" applyFont="1" applyBorder="1" applyAlignment="1">
      <alignment horizontal="center" wrapText="1"/>
    </xf>
    <xf numFmtId="9" fontId="5" fillId="0" borderId="6" xfId="0" applyNumberFormat="1" applyFont="1" applyBorder="1" applyAlignment="1">
      <alignment horizontal="center" wrapText="1"/>
    </xf>
    <xf numFmtId="0" fontId="5" fillId="4" borderId="10" xfId="0" applyFont="1" applyFill="1" applyBorder="1" applyAlignment="1">
      <alignment horizontal="center" wrapText="1"/>
    </xf>
    <xf numFmtId="0" fontId="5" fillId="4" borderId="11" xfId="0" applyFont="1" applyFill="1" applyBorder="1" applyAlignment="1">
      <alignment horizontal="center" wrapText="1"/>
    </xf>
    <xf numFmtId="0" fontId="5" fillId="4" borderId="12"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5" fillId="0" borderId="12" xfId="0" applyFont="1" applyFill="1" applyBorder="1" applyAlignment="1">
      <alignment horizontal="center" wrapText="1"/>
    </xf>
    <xf numFmtId="0" fontId="5" fillId="0" borderId="5" xfId="0" applyFont="1" applyFill="1" applyBorder="1" applyAlignment="1">
      <alignment horizontal="center" wrapText="1"/>
    </xf>
    <xf numFmtId="0" fontId="5" fillId="0" borderId="2" xfId="0" applyFont="1" applyFill="1" applyBorder="1" applyAlignment="1">
      <alignment horizontal="center" wrapText="1"/>
    </xf>
    <xf numFmtId="0" fontId="5" fillId="0" borderId="13" xfId="0" applyFont="1" applyFill="1" applyBorder="1" applyAlignment="1">
      <alignment horizontal="center" wrapText="1"/>
    </xf>
    <xf numFmtId="0" fontId="5" fillId="0" borderId="6" xfId="0" applyFont="1" applyFill="1" applyBorder="1" applyAlignment="1">
      <alignment horizontal="center" wrapText="1"/>
    </xf>
    <xf numFmtId="0" fontId="5" fillId="0" borderId="38" xfId="5" applyFont="1" applyFill="1" applyBorder="1" applyAlignment="1">
      <alignment horizontal="center" wrapText="1"/>
    </xf>
    <xf numFmtId="0" fontId="5" fillId="0" borderId="39" xfId="5" applyFont="1" applyFill="1" applyBorder="1" applyAlignment="1">
      <alignment horizontal="center" wrapText="1"/>
    </xf>
    <xf numFmtId="0" fontId="5" fillId="0" borderId="41" xfId="5" applyFont="1" applyFill="1" applyBorder="1" applyAlignment="1">
      <alignment horizontal="center" wrapText="1"/>
    </xf>
    <xf numFmtId="0" fontId="32" fillId="8" borderId="42" xfId="5" applyFont="1" applyFill="1" applyBorder="1" applyAlignment="1">
      <alignment horizontal="center" vertical="center" wrapText="1"/>
    </xf>
    <xf numFmtId="0" fontId="32" fillId="8" borderId="43" xfId="5" applyFont="1" applyFill="1" applyBorder="1" applyAlignment="1">
      <alignment horizontal="center" vertical="center" wrapText="1"/>
    </xf>
    <xf numFmtId="0" fontId="32" fillId="8" borderId="44" xfId="5" applyFont="1" applyFill="1" applyBorder="1" applyAlignment="1">
      <alignment horizontal="center" vertical="center" wrapText="1"/>
    </xf>
    <xf numFmtId="0" fontId="5" fillId="0" borderId="10" xfId="5" applyFont="1" applyBorder="1" applyAlignment="1">
      <alignment horizontal="center" wrapText="1"/>
    </xf>
    <xf numFmtId="0" fontId="5" fillId="0" borderId="11" xfId="5" applyFont="1" applyBorder="1" applyAlignment="1">
      <alignment horizontal="center" wrapText="1"/>
    </xf>
    <xf numFmtId="0" fontId="5" fillId="0" borderId="12" xfId="5" applyFont="1" applyBorder="1" applyAlignment="1">
      <alignment horizontal="center" wrapText="1"/>
    </xf>
    <xf numFmtId="0" fontId="5" fillId="0" borderId="5" xfId="5" applyFont="1" applyBorder="1" applyAlignment="1">
      <alignment horizontal="center" wrapText="1"/>
    </xf>
    <xf numFmtId="0" fontId="5" fillId="0" borderId="2" xfId="5" applyFont="1" applyBorder="1" applyAlignment="1">
      <alignment horizontal="center" wrapText="1"/>
    </xf>
    <xf numFmtId="0" fontId="5" fillId="0" borderId="13" xfId="5" applyFont="1" applyBorder="1" applyAlignment="1">
      <alignment horizontal="center" wrapText="1"/>
    </xf>
    <xf numFmtId="0" fontId="5" fillId="0" borderId="6" xfId="5" applyFont="1" applyFill="1" applyBorder="1" applyAlignment="1">
      <alignment horizontal="center" wrapText="1"/>
    </xf>
    <xf numFmtId="5" fontId="5" fillId="0" borderId="10" xfId="5" applyNumberFormat="1" applyFont="1" applyBorder="1" applyAlignment="1">
      <alignment horizontal="center" wrapText="1"/>
    </xf>
    <xf numFmtId="5" fontId="5" fillId="0" borderId="11" xfId="5" applyNumberFormat="1" applyFont="1" applyBorder="1" applyAlignment="1">
      <alignment horizontal="center" wrapText="1"/>
    </xf>
    <xf numFmtId="5" fontId="5" fillId="0" borderId="12" xfId="5" applyNumberFormat="1" applyFont="1" applyBorder="1" applyAlignment="1">
      <alignment horizontal="center" wrapText="1"/>
    </xf>
    <xf numFmtId="49" fontId="5" fillId="0" borderId="12" xfId="5" applyNumberFormat="1" applyFont="1" applyBorder="1" applyAlignment="1">
      <alignment horizontal="center" wrapText="1"/>
    </xf>
    <xf numFmtId="49" fontId="5" fillId="0" borderId="6" xfId="5" applyNumberFormat="1" applyFont="1" applyBorder="1" applyAlignment="1">
      <alignment horizontal="center" wrapText="1"/>
    </xf>
    <xf numFmtId="0" fontId="5" fillId="0" borderId="12" xfId="5" applyFont="1" applyFill="1" applyBorder="1" applyAlignment="1">
      <alignment horizontal="center" wrapText="1"/>
    </xf>
    <xf numFmtId="0" fontId="5" fillId="0" borderId="6" xfId="5" applyFont="1" applyBorder="1" applyAlignment="1">
      <alignment horizontal="center" wrapText="1"/>
    </xf>
    <xf numFmtId="164" fontId="5" fillId="0" borderId="12" xfId="5" applyNumberFormat="1" applyFont="1" applyBorder="1" applyAlignment="1">
      <alignment horizontal="center" wrapText="1"/>
    </xf>
    <xf numFmtId="164" fontId="5" fillId="0" borderId="6" xfId="5" applyNumberFormat="1" applyFont="1" applyBorder="1" applyAlignment="1">
      <alignment horizontal="center" wrapText="1"/>
    </xf>
    <xf numFmtId="5" fontId="5" fillId="0" borderId="10" xfId="1" applyNumberFormat="1" applyFont="1" applyFill="1" applyBorder="1" applyAlignment="1">
      <alignment horizontal="center" wrapText="1"/>
    </xf>
    <xf numFmtId="5" fontId="5" fillId="0" borderId="11" xfId="1" applyNumberFormat="1" applyFont="1" applyFill="1" applyBorder="1" applyAlignment="1">
      <alignment horizontal="center" wrapText="1"/>
    </xf>
    <xf numFmtId="5" fontId="5" fillId="0" borderId="12" xfId="1" applyNumberFormat="1" applyFont="1" applyFill="1" applyBorder="1" applyAlignment="1">
      <alignment horizontal="center" wrapText="1"/>
    </xf>
    <xf numFmtId="0" fontId="7" fillId="0" borderId="4" xfId="5" applyFont="1" applyBorder="1" applyAlignment="1">
      <alignment horizontal="left" wrapText="1"/>
    </xf>
    <xf numFmtId="0" fontId="7" fillId="0" borderId="3" xfId="5" applyFont="1" applyBorder="1" applyAlignment="1">
      <alignment horizontal="left" wrapText="1"/>
    </xf>
    <xf numFmtId="0" fontId="31" fillId="0" borderId="5" xfId="5" applyFont="1" applyBorder="1" applyAlignment="1">
      <alignment horizontal="center" wrapText="1"/>
    </xf>
    <xf numFmtId="0" fontId="31" fillId="0" borderId="2" xfId="5" applyFont="1" applyBorder="1" applyAlignment="1">
      <alignment horizontal="center" wrapText="1"/>
    </xf>
    <xf numFmtId="164" fontId="7" fillId="0" borderId="10" xfId="5" applyNumberFormat="1" applyFont="1" applyFill="1" applyBorder="1" applyAlignment="1">
      <alignment wrapText="1"/>
    </xf>
    <xf numFmtId="164" fontId="7" fillId="0" borderId="11" xfId="5" applyNumberFormat="1" applyFont="1" applyFill="1" applyBorder="1" applyAlignment="1">
      <alignment wrapText="1"/>
    </xf>
    <xf numFmtId="14" fontId="7" fillId="0" borderId="0" xfId="5" applyNumberFormat="1" applyFont="1" applyFill="1" applyBorder="1" applyAlignment="1">
      <alignment horizontal="left" wrapText="1"/>
    </xf>
    <xf numFmtId="0" fontId="7" fillId="0" borderId="2" xfId="5" applyFont="1" applyBorder="1" applyAlignment="1">
      <alignment horizontal="center" wrapText="1"/>
    </xf>
    <xf numFmtId="0" fontId="7" fillId="0" borderId="0" xfId="5" applyFont="1" applyBorder="1" applyAlignment="1">
      <alignment horizontal="center" wrapText="1"/>
    </xf>
    <xf numFmtId="0" fontId="7" fillId="0" borderId="0" xfId="5" applyFont="1" applyBorder="1" applyAlignment="1">
      <alignment horizontal="left"/>
    </xf>
    <xf numFmtId="0" fontId="7" fillId="0" borderId="1" xfId="5" applyFont="1" applyBorder="1" applyAlignment="1">
      <alignment horizontal="left"/>
    </xf>
    <xf numFmtId="0" fontId="28" fillId="0" borderId="6" xfId="11" applyFont="1" applyBorder="1" applyAlignment="1" applyProtection="1">
      <alignment horizontal="center" vertical="center"/>
      <protection locked="0"/>
    </xf>
    <xf numFmtId="0" fontId="11" fillId="0" borderId="0" xfId="0" applyFont="1" applyAlignment="1">
      <alignment horizontal="center" vertical="top"/>
    </xf>
    <xf numFmtId="0" fontId="0" fillId="0" borderId="9" xfId="0" applyBorder="1" applyAlignment="1">
      <alignment horizontal="center" vertical="top" wrapText="1"/>
    </xf>
    <xf numFmtId="0" fontId="27" fillId="6" borderId="6" xfId="11" applyFont="1" applyFill="1" applyBorder="1" applyAlignment="1" applyProtection="1">
      <alignment horizontal="center" vertical="top" wrapText="1"/>
    </xf>
    <xf numFmtId="0" fontId="28" fillId="7" borderId="6" xfId="11" applyFont="1" applyFill="1" applyBorder="1" applyAlignment="1" applyProtection="1">
      <alignment horizontal="center" vertical="center"/>
      <protection locked="0"/>
    </xf>
    <xf numFmtId="14" fontId="0" fillId="0" borderId="7" xfId="0" applyNumberFormat="1" applyFill="1" applyBorder="1" applyAlignment="1">
      <alignment horizontal="left" wrapText="1"/>
    </xf>
    <xf numFmtId="14" fontId="0" fillId="0" borderId="8" xfId="0" applyNumberFormat="1" applyFill="1" applyBorder="1" applyAlignment="1">
      <alignment horizontal="left" wrapText="1"/>
    </xf>
    <xf numFmtId="0" fontId="5" fillId="0" borderId="5" xfId="0" applyFont="1" applyBorder="1" applyAlignment="1">
      <alignment horizontal="center" wrapText="1"/>
    </xf>
    <xf numFmtId="0" fontId="5" fillId="0" borderId="2" xfId="0" applyFont="1" applyBorder="1" applyAlignment="1">
      <alignment horizontal="center" wrapText="1"/>
    </xf>
    <xf numFmtId="0" fontId="5" fillId="0" borderId="13" xfId="0" applyFont="1" applyBorder="1" applyAlignment="1">
      <alignment horizontal="center" wrapText="1"/>
    </xf>
    <xf numFmtId="0" fontId="0" fillId="0" borderId="37" xfId="0" applyBorder="1" applyAlignment="1">
      <alignment horizontal="left" wrapText="1"/>
    </xf>
    <xf numFmtId="0" fontId="5" fillId="0" borderId="5" xfId="0" applyFont="1" applyBorder="1" applyAlignment="1">
      <alignment horizontal="left" wrapText="1"/>
    </xf>
    <xf numFmtId="0" fontId="5" fillId="0" borderId="4" xfId="0" applyFont="1" applyBorder="1" applyAlignment="1">
      <alignment horizontal="left" wrapText="1"/>
    </xf>
    <xf numFmtId="0" fontId="5" fillId="0" borderId="3" xfId="0" applyFont="1" applyBorder="1" applyAlignment="1">
      <alignment horizontal="left" wrapText="1"/>
    </xf>
    <xf numFmtId="0" fontId="5" fillId="0" borderId="2" xfId="0" applyFont="1" applyBorder="1" applyAlignment="1">
      <alignment horizontal="left" wrapText="1"/>
    </xf>
    <xf numFmtId="0" fontId="5" fillId="0" borderId="0" xfId="0" applyFont="1" applyBorder="1" applyAlignment="1">
      <alignment horizontal="left" wrapText="1"/>
    </xf>
    <xf numFmtId="0" fontId="5" fillId="0" borderId="1" xfId="0" applyFont="1" applyBorder="1" applyAlignment="1">
      <alignment horizontal="left" wrapText="1"/>
    </xf>
    <xf numFmtId="0" fontId="5" fillId="0" borderId="13" xfId="0" applyFont="1" applyBorder="1" applyAlignment="1">
      <alignment horizontal="left" wrapText="1"/>
    </xf>
    <xf numFmtId="0" fontId="5" fillId="0" borderId="9" xfId="0" applyFont="1" applyBorder="1" applyAlignment="1">
      <alignment horizontal="left" wrapText="1"/>
    </xf>
    <xf numFmtId="0" fontId="5" fillId="0" borderId="36" xfId="0" applyFont="1" applyBorder="1" applyAlignment="1">
      <alignment horizontal="left" wrapText="1"/>
    </xf>
    <xf numFmtId="0" fontId="12" fillId="0" borderId="7" xfId="0" applyFont="1" applyBorder="1" applyAlignment="1">
      <alignment horizontal="left" wrapText="1"/>
    </xf>
    <xf numFmtId="0" fontId="12" fillId="0" borderId="8" xfId="0" applyFont="1" applyBorder="1" applyAlignment="1">
      <alignment horizontal="left" wrapText="1"/>
    </xf>
    <xf numFmtId="14" fontId="12" fillId="0" borderId="7" xfId="0" applyNumberFormat="1" applyFont="1" applyBorder="1" applyAlignment="1">
      <alignment horizontal="left" wrapText="1"/>
    </xf>
    <xf numFmtId="14" fontId="12" fillId="0" borderId="8" xfId="0" applyNumberFormat="1" applyFont="1" applyBorder="1" applyAlignment="1">
      <alignment horizontal="left" wrapText="1"/>
    </xf>
    <xf numFmtId="0" fontId="12" fillId="0" borderId="7" xfId="0" applyFont="1" applyBorder="1" applyAlignment="1">
      <alignment horizontal="left"/>
    </xf>
    <xf numFmtId="0" fontId="12" fillId="0" borderId="8" xfId="0" applyFont="1" applyBorder="1" applyAlignment="1">
      <alignment horizontal="left"/>
    </xf>
    <xf numFmtId="0" fontId="11" fillId="0" borderId="10" xfId="0" applyFont="1" applyBorder="1" applyAlignment="1">
      <alignment horizontal="center" wrapText="1"/>
    </xf>
    <xf numFmtId="0" fontId="11" fillId="0" borderId="11" xfId="0" applyFont="1" applyBorder="1" applyAlignment="1">
      <alignment horizontal="center" wrapText="1"/>
    </xf>
    <xf numFmtId="0" fontId="11" fillId="0" borderId="12" xfId="0" applyFont="1" applyBorder="1" applyAlignment="1">
      <alignment horizontal="center" wrapText="1"/>
    </xf>
    <xf numFmtId="0" fontId="11" fillId="0" borderId="6" xfId="0" applyFont="1" applyBorder="1" applyAlignment="1">
      <alignment horizontal="center" wrapText="1"/>
    </xf>
    <xf numFmtId="0" fontId="11" fillId="0" borderId="5" xfId="0" applyFont="1" applyBorder="1" applyAlignment="1">
      <alignment horizontal="center" wrapText="1"/>
    </xf>
    <xf numFmtId="0" fontId="11" fillId="0" borderId="2" xfId="0" applyFont="1" applyBorder="1" applyAlignment="1">
      <alignment horizontal="center" wrapText="1"/>
    </xf>
    <xf numFmtId="0" fontId="11" fillId="0" borderId="13" xfId="0" applyFont="1" applyBorder="1" applyAlignment="1">
      <alignment horizontal="center" wrapText="1"/>
    </xf>
    <xf numFmtId="165" fontId="5" fillId="0" borderId="6" xfId="0" applyNumberFormat="1" applyFont="1" applyBorder="1" applyAlignment="1">
      <alignment horizontal="center" vertical="center" wrapText="1"/>
    </xf>
  </cellXfs>
  <cellStyles count="14">
    <cellStyle name="Currency" xfId="1" builtinId="4"/>
    <cellStyle name="Currency 2" xfId="6"/>
    <cellStyle name="Currency 3" xfId="12"/>
    <cellStyle name="Neutral" xfId="3" builtinId="28"/>
    <cellStyle name="Normal" xfId="0" builtinId="0"/>
    <cellStyle name="Normal 2" xfId="4"/>
    <cellStyle name="Normal 26" xfId="11"/>
    <cellStyle name="Normal 3" xfId="9"/>
    <cellStyle name="Normal 4" xfId="5"/>
    <cellStyle name="Normal 6 2 3" xfId="10"/>
    <cellStyle name="Normal 9" xfId="7"/>
    <cellStyle name="Normal_Sheet1" xfId="8"/>
    <cellStyle name="Percent" xfId="2" builtinId="5"/>
    <cellStyle name="Percent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ptember%202017%20Reports/TMD/TMD%20-%20FY19%20JOC%20Government%20Facilitie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sheetData sheetId="1">
        <row r="8">
          <cell r="C8" t="str">
            <v>Camp Mabry Admin Offices
2200 W 35th St Bldg 1
Austin, 78730</v>
          </cell>
          <cell r="F8">
            <v>2500000</v>
          </cell>
        </row>
        <row r="9">
          <cell r="C9" t="str">
            <v>Weslaco Readiness Center
1100 Vo-Tech Drive
Weslaco 78596</v>
          </cell>
          <cell r="F9">
            <v>2500000</v>
          </cell>
        </row>
        <row r="10">
          <cell r="C10" t="str">
            <v>Terrell Readiness Center
Lions Club Parkway 
Hwy 80 West
Terrell 75160</v>
          </cell>
          <cell r="F10">
            <v>1500000</v>
          </cell>
        </row>
        <row r="11">
          <cell r="C11" t="str">
            <v>Fort Worth Shoreview Readiness Center
8111 Shoreview Dr
Fort Worth 76108</v>
          </cell>
          <cell r="F11">
            <v>2000000</v>
          </cell>
        </row>
        <row r="12">
          <cell r="C12" t="str">
            <v>Fort Worth Cobb Park Readiness Center
2101 Cobb Park Dr
Fort Worth 76105</v>
          </cell>
          <cell r="F12">
            <v>2500000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10" sqref="A10"/>
    </sheetView>
  </sheetViews>
  <sheetFormatPr defaultRowHeight="15"/>
  <cols>
    <col min="1" max="1" width="23.42578125" customWidth="1"/>
    <col min="2" max="2" width="14.85546875" customWidth="1"/>
    <col min="3" max="3" width="15.42578125" customWidth="1"/>
    <col min="4" max="4" width="16.42578125" customWidth="1"/>
    <col min="5" max="5" width="11.85546875" customWidth="1"/>
    <col min="6" max="6" width="12.5703125" customWidth="1"/>
    <col min="7" max="7" width="11.42578125" customWidth="1"/>
    <col min="8" max="8" width="12.42578125" customWidth="1"/>
    <col min="9" max="9" width="12.7109375" customWidth="1"/>
  </cols>
  <sheetData>
    <row r="1" spans="1:9" ht="21">
      <c r="D1" s="19" t="s">
        <v>16</v>
      </c>
    </row>
    <row r="2" spans="1:9" ht="45">
      <c r="A2" s="18"/>
      <c r="B2" s="15" t="s">
        <v>15</v>
      </c>
      <c r="C2" s="15" t="s">
        <v>14</v>
      </c>
      <c r="D2" s="17" t="s">
        <v>13</v>
      </c>
      <c r="E2" s="16" t="s">
        <v>12</v>
      </c>
      <c r="F2" s="17" t="s">
        <v>11</v>
      </c>
      <c r="G2" s="16" t="s">
        <v>10</v>
      </c>
      <c r="H2" s="15" t="s">
        <v>9</v>
      </c>
      <c r="I2" s="14" t="s">
        <v>8</v>
      </c>
    </row>
    <row r="3" spans="1:9">
      <c r="A3" s="4"/>
      <c r="B3" s="2"/>
      <c r="C3" s="2"/>
      <c r="D3" s="2"/>
      <c r="E3" s="3"/>
      <c r="F3" s="2"/>
      <c r="G3" s="3"/>
      <c r="H3" s="2"/>
      <c r="I3" s="1"/>
    </row>
    <row r="4" spans="1:9" ht="15.75">
      <c r="A4" s="410" t="s">
        <v>7</v>
      </c>
      <c r="B4" s="2"/>
      <c r="C4" s="2"/>
      <c r="D4" s="2"/>
      <c r="E4" s="3"/>
      <c r="F4" s="2"/>
      <c r="G4" s="3"/>
      <c r="H4" s="2"/>
      <c r="I4" s="1"/>
    </row>
    <row r="5" spans="1:9">
      <c r="A5" s="403" t="s">
        <v>1242</v>
      </c>
      <c r="B5" s="404">
        <v>12000000</v>
      </c>
      <c r="C5" s="404">
        <v>12000000</v>
      </c>
      <c r="D5" s="404">
        <v>0</v>
      </c>
      <c r="E5" s="405">
        <v>0</v>
      </c>
      <c r="F5" s="404">
        <v>0</v>
      </c>
      <c r="G5" s="406">
        <f t="shared" ref="G5:G15" si="0">F5/C5</f>
        <v>0</v>
      </c>
      <c r="H5" s="404">
        <f t="shared" ref="H5:H16" si="1">SUM(C5-D5-F5)</f>
        <v>12000000</v>
      </c>
      <c r="I5" s="407">
        <f t="shared" ref="I5:I17" si="2">SUM(H5/C5)</f>
        <v>1</v>
      </c>
    </row>
    <row r="6" spans="1:9">
      <c r="A6" s="9" t="s">
        <v>1243</v>
      </c>
      <c r="B6" s="2">
        <v>11000000</v>
      </c>
      <c r="C6" s="6">
        <v>11000000</v>
      </c>
      <c r="D6" s="6">
        <v>0</v>
      </c>
      <c r="E6" s="13">
        <f t="shared" ref="E6:E12" si="3">D6/C6</f>
        <v>0</v>
      </c>
      <c r="F6" s="2">
        <v>0</v>
      </c>
      <c r="G6" s="12">
        <f t="shared" si="0"/>
        <v>0</v>
      </c>
      <c r="H6" s="11">
        <f t="shared" si="1"/>
        <v>11000000</v>
      </c>
      <c r="I6" s="10">
        <f t="shared" si="2"/>
        <v>1</v>
      </c>
    </row>
    <row r="7" spans="1:9">
      <c r="A7" s="403" t="s">
        <v>1244</v>
      </c>
      <c r="B7" s="404">
        <v>66185665</v>
      </c>
      <c r="C7" s="404">
        <v>66185665</v>
      </c>
      <c r="D7" s="404">
        <v>0</v>
      </c>
      <c r="E7" s="408">
        <f t="shared" si="3"/>
        <v>0</v>
      </c>
      <c r="F7" s="404">
        <v>0</v>
      </c>
      <c r="G7" s="406">
        <f t="shared" si="0"/>
        <v>0</v>
      </c>
      <c r="H7" s="404">
        <f t="shared" si="1"/>
        <v>66185665</v>
      </c>
      <c r="I7" s="407">
        <f t="shared" si="2"/>
        <v>1</v>
      </c>
    </row>
    <row r="8" spans="1:9">
      <c r="A8" s="9" t="s">
        <v>1245</v>
      </c>
      <c r="B8" s="2">
        <v>41635989</v>
      </c>
      <c r="C8" s="6">
        <v>41635989</v>
      </c>
      <c r="D8" s="2">
        <v>609388</v>
      </c>
      <c r="E8" s="13">
        <f t="shared" si="3"/>
        <v>1.4636088024713428E-2</v>
      </c>
      <c r="F8" s="2">
        <v>300361</v>
      </c>
      <c r="G8" s="12">
        <f t="shared" si="0"/>
        <v>7.2139753903768204E-3</v>
      </c>
      <c r="H8" s="11">
        <f t="shared" si="1"/>
        <v>40726240</v>
      </c>
      <c r="I8" s="10">
        <f t="shared" si="2"/>
        <v>0.97814993658490978</v>
      </c>
    </row>
    <row r="9" spans="1:9">
      <c r="A9" s="403" t="s">
        <v>1246</v>
      </c>
      <c r="B9" s="404">
        <v>90000000</v>
      </c>
      <c r="C9" s="404">
        <v>90000000</v>
      </c>
      <c r="D9" s="404">
        <v>0</v>
      </c>
      <c r="E9" s="406">
        <f t="shared" si="3"/>
        <v>0</v>
      </c>
      <c r="F9" s="404">
        <v>0</v>
      </c>
      <c r="G9" s="406">
        <f t="shared" si="0"/>
        <v>0</v>
      </c>
      <c r="H9" s="404">
        <f t="shared" si="1"/>
        <v>90000000</v>
      </c>
      <c r="I9" s="407">
        <f t="shared" si="2"/>
        <v>1</v>
      </c>
    </row>
    <row r="10" spans="1:9">
      <c r="A10" s="9" t="s">
        <v>1247</v>
      </c>
      <c r="B10" s="6">
        <v>40127926</v>
      </c>
      <c r="C10" s="6">
        <v>50000000</v>
      </c>
      <c r="D10" s="6">
        <v>0</v>
      </c>
      <c r="E10" s="8">
        <f t="shared" si="3"/>
        <v>0</v>
      </c>
      <c r="F10" s="6">
        <v>0</v>
      </c>
      <c r="G10" s="7">
        <f t="shared" si="0"/>
        <v>0</v>
      </c>
      <c r="H10" s="6">
        <f t="shared" si="1"/>
        <v>50000000</v>
      </c>
      <c r="I10" s="5">
        <f t="shared" si="2"/>
        <v>1</v>
      </c>
    </row>
    <row r="11" spans="1:9">
      <c r="A11" s="403" t="s">
        <v>6</v>
      </c>
      <c r="B11" s="404">
        <v>6350000</v>
      </c>
      <c r="C11" s="404">
        <v>6350000</v>
      </c>
      <c r="D11" s="404">
        <v>1000000</v>
      </c>
      <c r="E11" s="405">
        <f t="shared" si="3"/>
        <v>0.15748031496062992</v>
      </c>
      <c r="F11" s="404">
        <v>0</v>
      </c>
      <c r="G11" s="406">
        <f t="shared" si="0"/>
        <v>0</v>
      </c>
      <c r="H11" s="404">
        <f t="shared" si="1"/>
        <v>5350000</v>
      </c>
      <c r="I11" s="407">
        <f t="shared" si="2"/>
        <v>0.84251968503937003</v>
      </c>
    </row>
    <row r="12" spans="1:9">
      <c r="A12" s="9" t="s">
        <v>5</v>
      </c>
      <c r="B12" s="6">
        <v>4700000</v>
      </c>
      <c r="C12" s="6">
        <v>4700000</v>
      </c>
      <c r="D12" s="6">
        <v>9854</v>
      </c>
      <c r="E12" s="8">
        <f t="shared" si="3"/>
        <v>2.096595744680851E-3</v>
      </c>
      <c r="F12" s="6">
        <v>0</v>
      </c>
      <c r="G12" s="7">
        <f t="shared" si="0"/>
        <v>0</v>
      </c>
      <c r="H12" s="6">
        <f t="shared" si="1"/>
        <v>4690146</v>
      </c>
      <c r="I12" s="5">
        <f t="shared" si="2"/>
        <v>0.9979034042553192</v>
      </c>
    </row>
    <row r="13" spans="1:9">
      <c r="A13" s="403" t="s">
        <v>4</v>
      </c>
      <c r="B13" s="404">
        <v>1800000</v>
      </c>
      <c r="C13" s="404">
        <v>1800000</v>
      </c>
      <c r="D13" s="404">
        <v>0</v>
      </c>
      <c r="E13" s="405">
        <v>0</v>
      </c>
      <c r="F13" s="404">
        <v>0</v>
      </c>
      <c r="G13" s="406">
        <f t="shared" si="0"/>
        <v>0</v>
      </c>
      <c r="H13" s="404">
        <f t="shared" si="1"/>
        <v>1800000</v>
      </c>
      <c r="I13" s="407">
        <f t="shared" si="2"/>
        <v>1</v>
      </c>
    </row>
    <row r="14" spans="1:9">
      <c r="A14" s="9" t="s">
        <v>3</v>
      </c>
      <c r="B14" s="6">
        <v>79923257</v>
      </c>
      <c r="C14" s="6">
        <v>79923257</v>
      </c>
      <c r="D14" s="6">
        <v>0</v>
      </c>
      <c r="E14" s="8">
        <f>D14/C14</f>
        <v>0</v>
      </c>
      <c r="F14" s="6">
        <v>0</v>
      </c>
      <c r="G14" s="7">
        <f t="shared" si="0"/>
        <v>0</v>
      </c>
      <c r="H14" s="6">
        <f t="shared" si="1"/>
        <v>79923257</v>
      </c>
      <c r="I14" s="5">
        <f t="shared" si="2"/>
        <v>1</v>
      </c>
    </row>
    <row r="15" spans="1:9">
      <c r="A15" s="403" t="s">
        <v>2</v>
      </c>
      <c r="B15" s="404">
        <v>79862729</v>
      </c>
      <c r="C15" s="404">
        <v>79862729</v>
      </c>
      <c r="D15" s="404">
        <v>0</v>
      </c>
      <c r="E15" s="405">
        <f>D15/C15</f>
        <v>0</v>
      </c>
      <c r="F15" s="404">
        <v>0</v>
      </c>
      <c r="G15" s="406">
        <f t="shared" si="0"/>
        <v>0</v>
      </c>
      <c r="H15" s="404">
        <f t="shared" si="1"/>
        <v>79862729</v>
      </c>
      <c r="I15" s="407">
        <f t="shared" si="2"/>
        <v>1</v>
      </c>
    </row>
    <row r="16" spans="1:9">
      <c r="A16" s="9" t="s">
        <v>1</v>
      </c>
      <c r="B16" s="6">
        <v>12100000</v>
      </c>
      <c r="C16" s="6">
        <v>12100000</v>
      </c>
      <c r="D16" s="6">
        <v>0</v>
      </c>
      <c r="E16" s="8">
        <f>D16/C16</f>
        <v>0</v>
      </c>
      <c r="F16" s="6">
        <v>0</v>
      </c>
      <c r="G16" s="7">
        <f>F16/C15</f>
        <v>0</v>
      </c>
      <c r="H16" s="6">
        <f t="shared" si="1"/>
        <v>12100000</v>
      </c>
      <c r="I16" s="5">
        <f t="shared" si="2"/>
        <v>1</v>
      </c>
    </row>
    <row r="17" spans="1:9">
      <c r="A17" s="409" t="s">
        <v>0</v>
      </c>
      <c r="B17" s="404">
        <f>SUM(B5:B16)</f>
        <v>445685566</v>
      </c>
      <c r="C17" s="404">
        <f>SUM(C5:C16)</f>
        <v>455557640</v>
      </c>
      <c r="D17" s="404">
        <f>SUM(D5:D16)</f>
        <v>1619242</v>
      </c>
      <c r="E17" s="406">
        <f>D17/C17</f>
        <v>3.554417394909676E-3</v>
      </c>
      <c r="F17" s="404">
        <f>SUM(F5:F16)</f>
        <v>300361</v>
      </c>
      <c r="G17" s="406">
        <f>F17/C17</f>
        <v>6.5932600757173123E-4</v>
      </c>
      <c r="H17" s="404">
        <f>SUM(H5:H16)</f>
        <v>453638037</v>
      </c>
      <c r="I17" s="407">
        <f t="shared" si="2"/>
        <v>0.99578625659751863</v>
      </c>
    </row>
    <row r="18" spans="1:9">
      <c r="A18" s="477"/>
      <c r="B18" s="478"/>
      <c r="C18" s="478"/>
      <c r="D18" s="478"/>
      <c r="E18" s="479"/>
      <c r="F18" s="478"/>
      <c r="G18" s="479"/>
      <c r="H18" s="478"/>
      <c r="I18" s="480"/>
    </row>
  </sheetData>
  <pageMargins left="0.7" right="0.7" top="0.75" bottom="0.75" header="0.3" footer="0.3"/>
  <pageSetup paperSize="5" orientation="landscape" verticalDpi="59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5"/>
  <sheetViews>
    <sheetView topLeftCell="A19" zoomScale="90" zoomScaleNormal="90" workbookViewId="0">
      <selection activeCell="N11" sqref="N11"/>
    </sheetView>
  </sheetViews>
  <sheetFormatPr defaultRowHeight="15"/>
  <cols>
    <col min="10" max="10" width="12.140625" customWidth="1"/>
    <col min="11" max="11" width="14.42578125" customWidth="1"/>
    <col min="12" max="12" width="15.7109375" customWidth="1"/>
    <col min="13" max="13" width="16.42578125" customWidth="1"/>
    <col min="14" max="14" width="15.5703125" customWidth="1"/>
    <col min="15" max="15" width="14.42578125" customWidth="1"/>
    <col min="16" max="16" width="13.7109375" customWidth="1"/>
    <col min="17" max="17" width="16.42578125" customWidth="1"/>
    <col min="18" max="18" width="15.140625" customWidth="1"/>
    <col min="19" max="19" width="13.7109375" customWidth="1"/>
    <col min="20" max="20" width="23.28515625" customWidth="1"/>
    <col min="21" max="21" width="11.7109375" customWidth="1"/>
  </cols>
  <sheetData>
    <row r="1" spans="1:21" ht="39" customHeight="1">
      <c r="A1" s="411"/>
      <c r="B1" s="412"/>
      <c r="C1" s="413"/>
      <c r="D1" s="413"/>
      <c r="E1" s="413"/>
      <c r="F1" s="413"/>
      <c r="G1" s="413"/>
      <c r="H1" s="413"/>
      <c r="I1" s="414" t="s">
        <v>830</v>
      </c>
      <c r="J1" s="591" t="s">
        <v>831</v>
      </c>
      <c r="K1" s="592"/>
      <c r="L1" s="593" t="s">
        <v>1218</v>
      </c>
      <c r="M1" s="595"/>
      <c r="N1" s="415"/>
      <c r="O1" s="416"/>
      <c r="P1" s="417"/>
      <c r="Q1" s="417"/>
      <c r="R1" s="418"/>
      <c r="S1" s="418"/>
      <c r="T1" s="418"/>
      <c r="U1" s="419" t="s">
        <v>833</v>
      </c>
    </row>
    <row r="2" spans="1:21" ht="39" customHeight="1">
      <c r="A2" s="420"/>
      <c r="B2" s="421"/>
      <c r="C2" s="422"/>
      <c r="D2" s="422"/>
      <c r="E2" s="422"/>
      <c r="F2" s="422"/>
      <c r="G2" s="422"/>
      <c r="H2" s="422"/>
      <c r="I2" s="423" t="s">
        <v>19</v>
      </c>
      <c r="J2" s="597">
        <v>43024</v>
      </c>
      <c r="K2" s="597"/>
      <c r="L2" s="594"/>
      <c r="M2" s="596"/>
      <c r="N2" s="424"/>
      <c r="O2" s="421"/>
      <c r="P2" s="421"/>
      <c r="Q2" s="425"/>
      <c r="R2" s="426"/>
      <c r="S2" s="426"/>
      <c r="T2" s="426"/>
      <c r="U2" s="427"/>
    </row>
    <row r="3" spans="1:21" ht="39" customHeight="1">
      <c r="A3" s="598" t="s">
        <v>834</v>
      </c>
      <c r="B3" s="599"/>
      <c r="C3" s="599"/>
      <c r="D3" s="599"/>
      <c r="E3" s="599"/>
      <c r="F3" s="599"/>
      <c r="G3" s="599"/>
      <c r="H3" s="599"/>
      <c r="I3" s="423" t="s">
        <v>20</v>
      </c>
      <c r="J3" s="600" t="s">
        <v>835</v>
      </c>
      <c r="K3" s="601"/>
      <c r="L3" s="594"/>
      <c r="M3" s="596"/>
      <c r="N3" s="424"/>
      <c r="O3" s="421"/>
      <c r="P3" s="421"/>
      <c r="Q3" s="425"/>
      <c r="R3" s="426"/>
      <c r="S3" s="426"/>
      <c r="T3" s="426"/>
      <c r="U3" s="427"/>
    </row>
    <row r="4" spans="1:21" ht="39" customHeight="1">
      <c r="A4" s="428"/>
      <c r="B4" s="429"/>
      <c r="C4" s="430"/>
      <c r="D4" s="430"/>
      <c r="E4" s="430"/>
      <c r="F4" s="430"/>
      <c r="G4" s="430"/>
      <c r="H4" s="430"/>
      <c r="I4" s="431"/>
      <c r="J4" s="432"/>
      <c r="K4" s="433"/>
      <c r="L4" s="434"/>
      <c r="M4" s="435"/>
      <c r="N4" s="436"/>
      <c r="O4" s="437"/>
      <c r="P4" s="429"/>
      <c r="Q4" s="438"/>
      <c r="R4" s="439"/>
      <c r="S4" s="439"/>
      <c r="T4" s="439"/>
      <c r="U4" s="433"/>
    </row>
    <row r="5" spans="1:21" ht="15.75">
      <c r="A5" s="440"/>
      <c r="B5" s="441"/>
      <c r="C5" s="441"/>
      <c r="D5" s="441"/>
      <c r="E5" s="441"/>
      <c r="F5" s="441"/>
      <c r="G5" s="441"/>
      <c r="H5" s="441"/>
      <c r="I5" s="582" t="s">
        <v>22</v>
      </c>
      <c r="J5" s="584" t="s">
        <v>23</v>
      </c>
      <c r="K5" s="573" t="s">
        <v>24</v>
      </c>
      <c r="L5" s="585" t="s">
        <v>25</v>
      </c>
      <c r="M5" s="586" t="s">
        <v>836</v>
      </c>
      <c r="N5" s="588" t="s">
        <v>837</v>
      </c>
      <c r="O5" s="572" t="s">
        <v>26</v>
      </c>
      <c r="P5" s="575" t="s">
        <v>27</v>
      </c>
      <c r="Q5" s="578" t="s">
        <v>838</v>
      </c>
      <c r="R5" s="579" t="s">
        <v>13</v>
      </c>
      <c r="S5" s="579" t="s">
        <v>11</v>
      </c>
      <c r="T5" s="579" t="s">
        <v>9</v>
      </c>
      <c r="U5" s="566" t="s">
        <v>839</v>
      </c>
    </row>
    <row r="6" spans="1:21" ht="15.75">
      <c r="A6" s="440"/>
      <c r="B6" s="441"/>
      <c r="C6" s="441"/>
      <c r="D6" s="441"/>
      <c r="E6" s="441"/>
      <c r="F6" s="441"/>
      <c r="G6" s="441"/>
      <c r="H6" s="441"/>
      <c r="I6" s="583"/>
      <c r="J6" s="578"/>
      <c r="K6" s="573"/>
      <c r="L6" s="585"/>
      <c r="M6" s="587"/>
      <c r="N6" s="589"/>
      <c r="O6" s="573"/>
      <c r="P6" s="576"/>
      <c r="Q6" s="578"/>
      <c r="R6" s="580"/>
      <c r="S6" s="580"/>
      <c r="T6" s="580"/>
      <c r="U6" s="567"/>
    </row>
    <row r="7" spans="1:21" ht="63">
      <c r="A7" s="442" t="s">
        <v>840</v>
      </c>
      <c r="B7" s="443" t="s">
        <v>841</v>
      </c>
      <c r="C7" s="443" t="s">
        <v>842</v>
      </c>
      <c r="D7" s="443" t="s">
        <v>843</v>
      </c>
      <c r="E7" s="443" t="s">
        <v>844</v>
      </c>
      <c r="F7" s="443" t="s">
        <v>845</v>
      </c>
      <c r="G7" s="443" t="s">
        <v>846</v>
      </c>
      <c r="H7" s="443" t="s">
        <v>847</v>
      </c>
      <c r="I7" s="583"/>
      <c r="J7" s="578"/>
      <c r="K7" s="574"/>
      <c r="L7" s="585"/>
      <c r="M7" s="587"/>
      <c r="N7" s="590"/>
      <c r="O7" s="574"/>
      <c r="P7" s="577"/>
      <c r="Q7" s="578"/>
      <c r="R7" s="581"/>
      <c r="S7" s="581"/>
      <c r="T7" s="581"/>
      <c r="U7" s="568"/>
    </row>
    <row r="8" spans="1:21" ht="75">
      <c r="A8" s="444">
        <v>1</v>
      </c>
      <c r="B8" s="445"/>
      <c r="C8" s="446"/>
      <c r="D8" s="446"/>
      <c r="E8" s="446"/>
      <c r="F8" s="446"/>
      <c r="G8" s="446"/>
      <c r="H8" s="446"/>
      <c r="I8" s="463" t="s">
        <v>1219</v>
      </c>
      <c r="J8" s="464" t="s">
        <v>1220</v>
      </c>
      <c r="K8" s="449" t="s">
        <v>1221</v>
      </c>
      <c r="L8" s="450" t="s">
        <v>852</v>
      </c>
      <c r="M8" s="465">
        <v>285714.28571428568</v>
      </c>
      <c r="N8" s="452">
        <f t="shared" ref="N8:N20" si="0">M8</f>
        <v>285714.28571428568</v>
      </c>
      <c r="O8" s="453" t="s">
        <v>101</v>
      </c>
      <c r="P8" s="455">
        <v>0</v>
      </c>
      <c r="Q8" s="455">
        <v>0</v>
      </c>
      <c r="R8" s="386">
        <v>0</v>
      </c>
      <c r="S8" s="386">
        <v>0</v>
      </c>
      <c r="T8" s="386">
        <f t="shared" ref="T8:T22" si="1">N8-R8-S8</f>
        <v>285714.28571428568</v>
      </c>
      <c r="U8" s="466"/>
    </row>
    <row r="9" spans="1:21" ht="90">
      <c r="A9" s="444">
        <f t="shared" ref="A9:A22" si="2">A8+1</f>
        <v>2</v>
      </c>
      <c r="B9" s="445"/>
      <c r="C9" s="446"/>
      <c r="D9" s="446"/>
      <c r="E9" s="446"/>
      <c r="F9" s="446"/>
      <c r="G9" s="446"/>
      <c r="H9" s="446"/>
      <c r="I9" s="463">
        <v>23470418605</v>
      </c>
      <c r="J9" s="464" t="s">
        <v>1222</v>
      </c>
      <c r="K9" s="449" t="s">
        <v>1221</v>
      </c>
      <c r="L9" s="450" t="s">
        <v>852</v>
      </c>
      <c r="M9" s="465">
        <v>285714.28571428568</v>
      </c>
      <c r="N9" s="452">
        <f t="shared" si="0"/>
        <v>285714.28571428568</v>
      </c>
      <c r="O9" s="453" t="s">
        <v>101</v>
      </c>
      <c r="P9" s="455">
        <v>0</v>
      </c>
      <c r="Q9" s="455">
        <v>0</v>
      </c>
      <c r="R9" s="386">
        <v>0</v>
      </c>
      <c r="S9" s="386">
        <v>0</v>
      </c>
      <c r="T9" s="386">
        <f t="shared" si="1"/>
        <v>285714.28571428568</v>
      </c>
      <c r="U9" s="466"/>
    </row>
    <row r="10" spans="1:21" ht="75">
      <c r="A10" s="444">
        <f t="shared" si="2"/>
        <v>3</v>
      </c>
      <c r="B10" s="445"/>
      <c r="C10" s="446"/>
      <c r="D10" s="446"/>
      <c r="E10" s="446"/>
      <c r="F10" s="446"/>
      <c r="G10" s="446"/>
      <c r="H10" s="446"/>
      <c r="I10" s="463">
        <v>21470418607</v>
      </c>
      <c r="J10" s="464" t="s">
        <v>1223</v>
      </c>
      <c r="K10" s="449" t="s">
        <v>1221</v>
      </c>
      <c r="L10" s="450" t="s">
        <v>852</v>
      </c>
      <c r="M10" s="465">
        <v>457142.85714285716</v>
      </c>
      <c r="N10" s="452">
        <f t="shared" si="0"/>
        <v>457142.85714285716</v>
      </c>
      <c r="O10" s="453" t="s">
        <v>101</v>
      </c>
      <c r="P10" s="455">
        <v>0</v>
      </c>
      <c r="Q10" s="455">
        <v>0</v>
      </c>
      <c r="R10" s="386">
        <v>0</v>
      </c>
      <c r="S10" s="386">
        <v>0</v>
      </c>
      <c r="T10" s="386">
        <f t="shared" si="1"/>
        <v>457142.85714285716</v>
      </c>
      <c r="U10" s="466"/>
    </row>
    <row r="11" spans="1:21" ht="75">
      <c r="A11" s="444">
        <f t="shared" si="2"/>
        <v>4</v>
      </c>
      <c r="B11" s="445"/>
      <c r="C11" s="446"/>
      <c r="D11" s="446"/>
      <c r="E11" s="446"/>
      <c r="F11" s="446"/>
      <c r="G11" s="446"/>
      <c r="H11" s="446"/>
      <c r="I11" s="463">
        <v>20470418604</v>
      </c>
      <c r="J11" s="464" t="s">
        <v>1224</v>
      </c>
      <c r="K11" s="449" t="s">
        <v>1221</v>
      </c>
      <c r="L11" s="450" t="s">
        <v>852</v>
      </c>
      <c r="M11" s="465">
        <v>571428.57142857136</v>
      </c>
      <c r="N11" s="452">
        <f t="shared" si="0"/>
        <v>571428.57142857136</v>
      </c>
      <c r="O11" s="453" t="s">
        <v>101</v>
      </c>
      <c r="P11" s="455">
        <v>0</v>
      </c>
      <c r="Q11" s="455">
        <v>0</v>
      </c>
      <c r="R11" s="386">
        <v>0</v>
      </c>
      <c r="S11" s="386">
        <v>0</v>
      </c>
      <c r="T11" s="386">
        <f t="shared" si="1"/>
        <v>571428.57142857136</v>
      </c>
      <c r="U11" s="466"/>
    </row>
    <row r="12" spans="1:21" ht="75">
      <c r="A12" s="444">
        <f t="shared" si="2"/>
        <v>5</v>
      </c>
      <c r="B12" s="445"/>
      <c r="C12" s="446"/>
      <c r="D12" s="446"/>
      <c r="E12" s="446"/>
      <c r="F12" s="446"/>
      <c r="G12" s="446"/>
      <c r="H12" s="446"/>
      <c r="I12" s="463" t="s">
        <v>1225</v>
      </c>
      <c r="J12" s="464" t="s">
        <v>1226</v>
      </c>
      <c r="K12" s="449" t="s">
        <v>1221</v>
      </c>
      <c r="L12" s="450" t="s">
        <v>852</v>
      </c>
      <c r="M12" s="465">
        <v>285714.28571428568</v>
      </c>
      <c r="N12" s="452">
        <f t="shared" si="0"/>
        <v>285714.28571428568</v>
      </c>
      <c r="O12" s="453" t="s">
        <v>101</v>
      </c>
      <c r="P12" s="455">
        <v>0</v>
      </c>
      <c r="Q12" s="455">
        <v>0</v>
      </c>
      <c r="R12" s="386">
        <v>0</v>
      </c>
      <c r="S12" s="386">
        <v>0</v>
      </c>
      <c r="T12" s="386">
        <f t="shared" si="1"/>
        <v>285714.28571428568</v>
      </c>
      <c r="U12" s="466"/>
    </row>
    <row r="13" spans="1:21" ht="75">
      <c r="A13" s="444">
        <f t="shared" si="2"/>
        <v>6</v>
      </c>
      <c r="B13" s="445"/>
      <c r="C13" s="446"/>
      <c r="D13" s="446"/>
      <c r="E13" s="446"/>
      <c r="F13" s="446"/>
      <c r="G13" s="446"/>
      <c r="H13" s="446"/>
      <c r="I13" s="463" t="s">
        <v>1227</v>
      </c>
      <c r="J13" s="464" t="s">
        <v>1226</v>
      </c>
      <c r="K13" s="449" t="s">
        <v>1221</v>
      </c>
      <c r="L13" s="450" t="s">
        <v>852</v>
      </c>
      <c r="M13" s="467">
        <v>285714.28571428568</v>
      </c>
      <c r="N13" s="452">
        <f>M13</f>
        <v>285714.28571428568</v>
      </c>
      <c r="O13" s="453" t="s">
        <v>101</v>
      </c>
      <c r="P13" s="455">
        <v>0</v>
      </c>
      <c r="Q13" s="455">
        <v>0</v>
      </c>
      <c r="R13" s="386">
        <v>0</v>
      </c>
      <c r="S13" s="386">
        <v>0</v>
      </c>
      <c r="T13" s="386">
        <f t="shared" si="1"/>
        <v>285714.28571428568</v>
      </c>
      <c r="U13" s="466"/>
    </row>
    <row r="14" spans="1:21" ht="75">
      <c r="A14" s="444">
        <f t="shared" si="2"/>
        <v>7</v>
      </c>
      <c r="B14" s="445"/>
      <c r="C14" s="446"/>
      <c r="D14" s="446"/>
      <c r="E14" s="446"/>
      <c r="F14" s="446"/>
      <c r="G14" s="446"/>
      <c r="H14" s="446"/>
      <c r="I14" s="463">
        <v>17470418606</v>
      </c>
      <c r="J14" s="464" t="s">
        <v>1228</v>
      </c>
      <c r="K14" s="449" t="s">
        <v>1221</v>
      </c>
      <c r="L14" s="450" t="s">
        <v>852</v>
      </c>
      <c r="M14" s="465">
        <v>457142.85714285716</v>
      </c>
      <c r="N14" s="452">
        <f t="shared" si="0"/>
        <v>457142.85714285716</v>
      </c>
      <c r="O14" s="453" t="s">
        <v>101</v>
      </c>
      <c r="P14" s="455">
        <v>0</v>
      </c>
      <c r="Q14" s="455">
        <v>0</v>
      </c>
      <c r="R14" s="386">
        <v>0</v>
      </c>
      <c r="S14" s="386">
        <v>0</v>
      </c>
      <c r="T14" s="386">
        <f t="shared" si="1"/>
        <v>457142.85714285716</v>
      </c>
      <c r="U14" s="466"/>
    </row>
    <row r="15" spans="1:21" ht="75">
      <c r="A15" s="444">
        <f t="shared" si="2"/>
        <v>8</v>
      </c>
      <c r="B15" s="445"/>
      <c r="C15" s="446"/>
      <c r="D15" s="446"/>
      <c r="E15" s="446"/>
      <c r="F15" s="446"/>
      <c r="G15" s="446"/>
      <c r="H15" s="446"/>
      <c r="I15" s="463">
        <v>14470418603</v>
      </c>
      <c r="J15" s="464" t="s">
        <v>1229</v>
      </c>
      <c r="K15" s="449" t="s">
        <v>1221</v>
      </c>
      <c r="L15" s="450" t="s">
        <v>852</v>
      </c>
      <c r="M15" s="465">
        <v>514285.71428571432</v>
      </c>
      <c r="N15" s="452">
        <f>M15</f>
        <v>514285.71428571432</v>
      </c>
      <c r="O15" s="453" t="s">
        <v>101</v>
      </c>
      <c r="P15" s="455">
        <v>0</v>
      </c>
      <c r="Q15" s="455">
        <v>0</v>
      </c>
      <c r="R15" s="386">
        <v>0</v>
      </c>
      <c r="S15" s="386">
        <v>0</v>
      </c>
      <c r="T15" s="386">
        <f t="shared" si="1"/>
        <v>514285.71428571432</v>
      </c>
      <c r="U15" s="466"/>
    </row>
    <row r="16" spans="1:21" ht="75">
      <c r="A16" s="444">
        <f t="shared" si="2"/>
        <v>9</v>
      </c>
      <c r="B16" s="445"/>
      <c r="C16" s="446"/>
      <c r="D16" s="446"/>
      <c r="E16" s="446"/>
      <c r="F16" s="446"/>
      <c r="G16" s="446"/>
      <c r="H16" s="446"/>
      <c r="I16" s="463">
        <v>14470418602</v>
      </c>
      <c r="J16" s="464" t="s">
        <v>1229</v>
      </c>
      <c r="K16" s="449" t="s">
        <v>1221</v>
      </c>
      <c r="L16" s="450" t="s">
        <v>852</v>
      </c>
      <c r="M16" s="465">
        <v>514285.71428571432</v>
      </c>
      <c r="N16" s="452">
        <f>M16</f>
        <v>514285.71428571432</v>
      </c>
      <c r="O16" s="453" t="s">
        <v>101</v>
      </c>
      <c r="P16" s="455">
        <v>0</v>
      </c>
      <c r="Q16" s="455">
        <v>0</v>
      </c>
      <c r="R16" s="386">
        <v>0</v>
      </c>
      <c r="S16" s="386">
        <v>0</v>
      </c>
      <c r="T16" s="386">
        <f t="shared" si="1"/>
        <v>514285.71428571432</v>
      </c>
      <c r="U16" s="466"/>
    </row>
    <row r="17" spans="1:21" ht="75">
      <c r="A17" s="444">
        <f t="shared" si="2"/>
        <v>10</v>
      </c>
      <c r="B17" s="445"/>
      <c r="C17" s="446"/>
      <c r="D17" s="446"/>
      <c r="E17" s="446"/>
      <c r="F17" s="446"/>
      <c r="G17" s="446"/>
      <c r="H17" s="446"/>
      <c r="I17" s="463">
        <v>14470418601</v>
      </c>
      <c r="J17" s="464" t="s">
        <v>1229</v>
      </c>
      <c r="K17" s="449" t="s">
        <v>1221</v>
      </c>
      <c r="L17" s="450" t="s">
        <v>852</v>
      </c>
      <c r="M17" s="467">
        <v>514285.71428571432</v>
      </c>
      <c r="N17" s="452">
        <f>M17</f>
        <v>514285.71428571432</v>
      </c>
      <c r="O17" s="453" t="s">
        <v>101</v>
      </c>
      <c r="P17" s="455">
        <v>0</v>
      </c>
      <c r="Q17" s="455">
        <v>0</v>
      </c>
      <c r="R17" s="386">
        <v>0</v>
      </c>
      <c r="S17" s="386">
        <v>0</v>
      </c>
      <c r="T17" s="386">
        <f t="shared" si="1"/>
        <v>514285.71428571432</v>
      </c>
      <c r="U17" s="466"/>
    </row>
    <row r="18" spans="1:21" ht="90">
      <c r="A18" s="444">
        <f t="shared" si="2"/>
        <v>11</v>
      </c>
      <c r="B18" s="445"/>
      <c r="C18" s="446"/>
      <c r="D18" s="446"/>
      <c r="E18" s="446"/>
      <c r="F18" s="446"/>
      <c r="G18" s="446"/>
      <c r="H18" s="446"/>
      <c r="I18" s="463" t="s">
        <v>1230</v>
      </c>
      <c r="J18" s="464" t="s">
        <v>1231</v>
      </c>
      <c r="K18" s="449" t="s">
        <v>1221</v>
      </c>
      <c r="L18" s="450" t="s">
        <v>852</v>
      </c>
      <c r="M18" s="465">
        <v>457142.85714285716</v>
      </c>
      <c r="N18" s="452">
        <f>M18</f>
        <v>457142.85714285716</v>
      </c>
      <c r="O18" s="453" t="s">
        <v>101</v>
      </c>
      <c r="P18" s="455">
        <v>0</v>
      </c>
      <c r="Q18" s="455">
        <v>0</v>
      </c>
      <c r="R18" s="386">
        <v>0</v>
      </c>
      <c r="S18" s="386">
        <v>0</v>
      </c>
      <c r="T18" s="386">
        <f t="shared" si="1"/>
        <v>457142.85714285716</v>
      </c>
      <c r="U18" s="466"/>
    </row>
    <row r="19" spans="1:21" ht="75">
      <c r="A19" s="444">
        <f t="shared" si="2"/>
        <v>12</v>
      </c>
      <c r="B19" s="445"/>
      <c r="C19" s="446"/>
      <c r="D19" s="446"/>
      <c r="E19" s="446"/>
      <c r="F19" s="446"/>
      <c r="G19" s="446"/>
      <c r="H19" s="446"/>
      <c r="I19" s="463" t="s">
        <v>1232</v>
      </c>
      <c r="J19" s="464" t="s">
        <v>1233</v>
      </c>
      <c r="K19" s="449" t="s">
        <v>1221</v>
      </c>
      <c r="L19" s="450" t="s">
        <v>852</v>
      </c>
      <c r="M19" s="467">
        <v>285714.28571428568</v>
      </c>
      <c r="N19" s="452">
        <f>M19</f>
        <v>285714.28571428568</v>
      </c>
      <c r="O19" s="453" t="s">
        <v>101</v>
      </c>
      <c r="P19" s="455">
        <v>0</v>
      </c>
      <c r="Q19" s="455">
        <v>0</v>
      </c>
      <c r="R19" s="386">
        <v>0</v>
      </c>
      <c r="S19" s="386">
        <v>0</v>
      </c>
      <c r="T19" s="386">
        <f t="shared" si="1"/>
        <v>285714.28571428568</v>
      </c>
      <c r="U19" s="466"/>
    </row>
    <row r="20" spans="1:21" ht="75">
      <c r="A20" s="444">
        <f t="shared" si="2"/>
        <v>13</v>
      </c>
      <c r="B20" s="445"/>
      <c r="C20" s="446"/>
      <c r="D20" s="446"/>
      <c r="E20" s="446"/>
      <c r="F20" s="446"/>
      <c r="G20" s="446"/>
      <c r="H20" s="446"/>
      <c r="I20" s="463" t="s">
        <v>1234</v>
      </c>
      <c r="J20" s="464" t="s">
        <v>1235</v>
      </c>
      <c r="K20" s="449" t="s">
        <v>1221</v>
      </c>
      <c r="L20" s="450" t="s">
        <v>852</v>
      </c>
      <c r="M20" s="467">
        <v>514285.71428571432</v>
      </c>
      <c r="N20" s="452">
        <f t="shared" si="0"/>
        <v>514285.71428571432</v>
      </c>
      <c r="O20" s="453" t="s">
        <v>101</v>
      </c>
      <c r="P20" s="455">
        <v>0</v>
      </c>
      <c r="Q20" s="455">
        <v>0</v>
      </c>
      <c r="R20" s="386">
        <v>0</v>
      </c>
      <c r="S20" s="386">
        <v>0</v>
      </c>
      <c r="T20" s="386">
        <f t="shared" si="1"/>
        <v>514285.71428571432</v>
      </c>
      <c r="U20" s="466"/>
    </row>
    <row r="21" spans="1:21" ht="90">
      <c r="A21" s="444">
        <f t="shared" si="2"/>
        <v>14</v>
      </c>
      <c r="B21" s="445"/>
      <c r="C21" s="446"/>
      <c r="D21" s="446"/>
      <c r="E21" s="446"/>
      <c r="F21" s="446"/>
      <c r="G21" s="446"/>
      <c r="H21" s="446"/>
      <c r="I21" s="463" t="s">
        <v>1236</v>
      </c>
      <c r="J21" s="464" t="s">
        <v>1237</v>
      </c>
      <c r="K21" s="449" t="s">
        <v>1221</v>
      </c>
      <c r="L21" s="450" t="s">
        <v>852</v>
      </c>
      <c r="M21" s="465">
        <v>285714.28571428568</v>
      </c>
      <c r="N21" s="452">
        <f>M21</f>
        <v>285714.28571428568</v>
      </c>
      <c r="O21" s="453" t="s">
        <v>101</v>
      </c>
      <c r="P21" s="455">
        <v>0</v>
      </c>
      <c r="Q21" s="455">
        <v>0</v>
      </c>
      <c r="R21" s="386">
        <v>0</v>
      </c>
      <c r="S21" s="386">
        <v>0</v>
      </c>
      <c r="T21" s="386">
        <f t="shared" si="1"/>
        <v>285714.28571428568</v>
      </c>
      <c r="U21" s="466"/>
    </row>
    <row r="22" spans="1:21" ht="90">
      <c r="A22" s="444">
        <f t="shared" si="2"/>
        <v>15</v>
      </c>
      <c r="B22" s="445"/>
      <c r="C22" s="446"/>
      <c r="D22" s="446"/>
      <c r="E22" s="446"/>
      <c r="F22" s="446"/>
      <c r="G22" s="446"/>
      <c r="H22" s="446"/>
      <c r="I22" s="463" t="s">
        <v>1238</v>
      </c>
      <c r="J22" s="464" t="s">
        <v>1237</v>
      </c>
      <c r="K22" s="449" t="s">
        <v>1221</v>
      </c>
      <c r="L22" s="450" t="s">
        <v>852</v>
      </c>
      <c r="M22" s="465">
        <v>285714.28571428568</v>
      </c>
      <c r="N22" s="452">
        <f>M22</f>
        <v>285714.28571428568</v>
      </c>
      <c r="O22" s="453" t="s">
        <v>101</v>
      </c>
      <c r="P22" s="455">
        <v>0</v>
      </c>
      <c r="Q22" s="455">
        <v>0</v>
      </c>
      <c r="R22" s="386">
        <v>0</v>
      </c>
      <c r="S22" s="386">
        <v>0</v>
      </c>
      <c r="T22" s="386">
        <f t="shared" si="1"/>
        <v>285714.28571428568</v>
      </c>
      <c r="U22" s="466"/>
    </row>
    <row r="23" spans="1:21">
      <c r="A23" s="444"/>
      <c r="B23" s="445"/>
      <c r="C23" s="446"/>
      <c r="D23" s="446"/>
      <c r="E23" s="446"/>
      <c r="F23" s="446"/>
      <c r="G23" s="446"/>
      <c r="H23" s="446"/>
      <c r="I23" s="468"/>
      <c r="J23" s="469"/>
      <c r="K23" s="449"/>
      <c r="L23" s="450"/>
      <c r="M23" s="452">
        <f>SUM(M8:M22)</f>
        <v>6000000</v>
      </c>
      <c r="N23" s="452">
        <f>SUM(N8:N22)</f>
        <v>6000000</v>
      </c>
      <c r="O23" s="453"/>
      <c r="P23" s="454"/>
      <c r="Q23" s="455"/>
      <c r="R23" s="452">
        <f>SUM(R8:R22)</f>
        <v>0</v>
      </c>
      <c r="S23" s="452">
        <f>SUM(S8:S22)</f>
        <v>0</v>
      </c>
      <c r="T23" s="452">
        <f>SUM(T8:T22)</f>
        <v>6000000</v>
      </c>
      <c r="U23" s="456"/>
    </row>
    <row r="24" spans="1:21" ht="15.75">
      <c r="A24" s="425"/>
      <c r="B24" s="425"/>
      <c r="C24" s="470"/>
      <c r="D24" s="470"/>
      <c r="E24" s="470"/>
      <c r="F24" s="470"/>
      <c r="G24" s="470"/>
      <c r="H24" s="470"/>
      <c r="I24" s="471"/>
      <c r="J24" s="425"/>
      <c r="K24" s="472"/>
      <c r="L24" s="425"/>
      <c r="M24" s="473"/>
      <c r="N24" s="474"/>
      <c r="O24" s="475"/>
      <c r="P24" s="425"/>
      <c r="Q24" s="425"/>
      <c r="R24" s="476"/>
      <c r="S24" s="476"/>
      <c r="T24" s="476"/>
      <c r="U24" s="470"/>
    </row>
    <row r="25" spans="1:21" ht="45">
      <c r="A25" s="444" t="s">
        <v>1239</v>
      </c>
      <c r="B25" s="445"/>
      <c r="C25" s="446"/>
      <c r="D25" s="446"/>
      <c r="E25" s="446"/>
      <c r="F25" s="446"/>
      <c r="G25" s="446"/>
      <c r="H25" s="446"/>
      <c r="I25" s="463" t="s">
        <v>1240</v>
      </c>
      <c r="J25" s="464" t="s">
        <v>1241</v>
      </c>
      <c r="K25" s="449" t="s">
        <v>1221</v>
      </c>
      <c r="L25" s="450" t="s">
        <v>852</v>
      </c>
      <c r="M25" s="465">
        <v>30000000</v>
      </c>
      <c r="N25" s="452">
        <v>30000000</v>
      </c>
      <c r="O25" s="453" t="s">
        <v>101</v>
      </c>
      <c r="P25" s="455">
        <v>0</v>
      </c>
      <c r="Q25" s="455">
        <v>0</v>
      </c>
      <c r="R25" s="386">
        <v>0</v>
      </c>
      <c r="S25" s="386">
        <v>0</v>
      </c>
      <c r="T25" s="386">
        <f t="shared" ref="T25" si="3">N25-R25-S25</f>
        <v>30000000</v>
      </c>
      <c r="U25" s="466"/>
    </row>
  </sheetData>
  <mergeCells count="19">
    <mergeCell ref="A3:H3"/>
    <mergeCell ref="J3:K3"/>
    <mergeCell ref="N5:N7"/>
    <mergeCell ref="J1:K1"/>
    <mergeCell ref="L1:L3"/>
    <mergeCell ref="M1:M3"/>
    <mergeCell ref="J2:K2"/>
    <mergeCell ref="I5:I7"/>
    <mergeCell ref="J5:J7"/>
    <mergeCell ref="K5:K7"/>
    <mergeCell ref="L5:L7"/>
    <mergeCell ref="M5:M7"/>
    <mergeCell ref="U5:U7"/>
    <mergeCell ref="O5:O7"/>
    <mergeCell ref="P5:P7"/>
    <mergeCell ref="Q5:Q7"/>
    <mergeCell ref="R5:R7"/>
    <mergeCell ref="S5:S7"/>
    <mergeCell ref="T5:T7"/>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opLeftCell="A4" zoomScale="80" zoomScaleNormal="80" workbookViewId="0">
      <selection activeCell="M9" sqref="M9"/>
    </sheetView>
  </sheetViews>
  <sheetFormatPr defaultRowHeight="15"/>
  <cols>
    <col min="1" max="1" width="9.140625" style="29"/>
    <col min="2" max="2" width="15.7109375" style="29" customWidth="1"/>
    <col min="3" max="3" width="17.42578125" style="29" customWidth="1"/>
    <col min="4" max="4" width="34.28515625" style="29" customWidth="1"/>
    <col min="5" max="5" width="22.42578125" style="29" customWidth="1"/>
    <col min="6" max="6" width="17.7109375" style="29" customWidth="1"/>
    <col min="7" max="7" width="19.28515625" style="29" customWidth="1"/>
    <col min="8" max="8" width="15.7109375" style="29" customWidth="1"/>
    <col min="9" max="9" width="14.42578125" style="29" customWidth="1"/>
    <col min="10" max="11" width="16.42578125" style="29" customWidth="1"/>
    <col min="12" max="12" width="14" style="29" customWidth="1"/>
    <col min="13" max="13" width="15.5703125" style="29" customWidth="1"/>
    <col min="14" max="16384" width="9.140625" style="29"/>
  </cols>
  <sheetData>
    <row r="1" spans="1:14" ht="15.75">
      <c r="B1" s="20" t="s">
        <v>17</v>
      </c>
      <c r="C1" s="537" t="s">
        <v>55</v>
      </c>
      <c r="D1" s="538"/>
      <c r="E1" s="21"/>
      <c r="I1" s="73"/>
    </row>
    <row r="2" spans="1:14" ht="15.75">
      <c r="B2" s="20" t="s">
        <v>19</v>
      </c>
      <c r="C2" s="607">
        <v>43004</v>
      </c>
      <c r="D2" s="608"/>
      <c r="E2" s="23"/>
      <c r="G2" s="73"/>
      <c r="H2" s="74"/>
      <c r="I2" s="73"/>
      <c r="J2" s="73"/>
      <c r="M2" s="75"/>
    </row>
    <row r="3" spans="1:14" ht="15.75">
      <c r="B3" s="20" t="s">
        <v>20</v>
      </c>
      <c r="C3" s="537" t="s">
        <v>56</v>
      </c>
      <c r="D3" s="538"/>
      <c r="E3" s="21"/>
    </row>
    <row r="4" spans="1:14" ht="15.75">
      <c r="B4" s="27"/>
      <c r="C4" s="28"/>
    </row>
    <row r="5" spans="1:14" ht="30.75" customHeight="1">
      <c r="A5" s="543" t="s">
        <v>57</v>
      </c>
      <c r="B5" s="547" t="s">
        <v>22</v>
      </c>
      <c r="C5" s="547" t="s">
        <v>23</v>
      </c>
      <c r="D5" s="547" t="s">
        <v>24</v>
      </c>
      <c r="E5" s="547" t="s">
        <v>25</v>
      </c>
      <c r="F5" s="547" t="s">
        <v>15</v>
      </c>
      <c r="G5" s="547" t="s">
        <v>58</v>
      </c>
      <c r="H5" s="543" t="s">
        <v>26</v>
      </c>
      <c r="I5" s="609" t="s">
        <v>27</v>
      </c>
      <c r="J5" s="547" t="s">
        <v>28</v>
      </c>
      <c r="K5" s="543" t="s">
        <v>13</v>
      </c>
      <c r="L5" s="543" t="s">
        <v>11</v>
      </c>
      <c r="M5" s="543" t="s">
        <v>9</v>
      </c>
      <c r="N5" s="543" t="s">
        <v>31</v>
      </c>
    </row>
    <row r="6" spans="1:14" ht="30.75" customHeight="1">
      <c r="A6" s="544"/>
      <c r="B6" s="547"/>
      <c r="C6" s="547"/>
      <c r="D6" s="547"/>
      <c r="E6" s="547"/>
      <c r="F6" s="547"/>
      <c r="G6" s="547"/>
      <c r="H6" s="544"/>
      <c r="I6" s="610"/>
      <c r="J6" s="547"/>
      <c r="K6" s="544"/>
      <c r="L6" s="544"/>
      <c r="M6" s="544"/>
      <c r="N6" s="544"/>
    </row>
    <row r="7" spans="1:14" ht="30.75" customHeight="1">
      <c r="A7" s="545"/>
      <c r="B7" s="547"/>
      <c r="C7" s="547"/>
      <c r="D7" s="547"/>
      <c r="E7" s="547"/>
      <c r="F7" s="547"/>
      <c r="G7" s="547"/>
      <c r="H7" s="545"/>
      <c r="I7" s="611"/>
      <c r="J7" s="547"/>
      <c r="K7" s="545"/>
      <c r="L7" s="545"/>
      <c r="M7" s="545"/>
      <c r="N7" s="545"/>
    </row>
    <row r="8" spans="1:14" ht="75">
      <c r="A8" s="30">
        <v>1</v>
      </c>
      <c r="B8" s="30" t="s">
        <v>59</v>
      </c>
      <c r="C8" s="43" t="s">
        <v>60</v>
      </c>
      <c r="D8" s="31" t="s">
        <v>61</v>
      </c>
      <c r="E8" s="43" t="s">
        <v>62</v>
      </c>
      <c r="F8" s="33">
        <v>1425000</v>
      </c>
      <c r="G8" s="39">
        <v>1425000</v>
      </c>
      <c r="H8" s="76">
        <v>43708</v>
      </c>
      <c r="I8" s="35">
        <v>0</v>
      </c>
      <c r="J8" s="35">
        <v>0</v>
      </c>
      <c r="K8" s="44">
        <v>0</v>
      </c>
      <c r="L8" s="44">
        <v>0</v>
      </c>
      <c r="M8" s="33">
        <f>G8-K8-L8</f>
        <v>1425000</v>
      </c>
      <c r="N8" s="30" t="s">
        <v>63</v>
      </c>
    </row>
    <row r="9" spans="1:14" ht="75">
      <c r="A9" s="30">
        <v>2</v>
      </c>
      <c r="B9" s="30" t="s">
        <v>64</v>
      </c>
      <c r="C9" s="43" t="s">
        <v>65</v>
      </c>
      <c r="D9" s="43" t="s">
        <v>66</v>
      </c>
      <c r="E9" s="43" t="s">
        <v>67</v>
      </c>
      <c r="F9" s="33">
        <v>2000000</v>
      </c>
      <c r="G9" s="39">
        <v>2000000</v>
      </c>
      <c r="H9" s="77"/>
      <c r="I9" s="35"/>
      <c r="J9" s="35"/>
      <c r="K9" s="44">
        <v>1000000</v>
      </c>
      <c r="L9" s="44">
        <v>0</v>
      </c>
      <c r="M9" s="33">
        <f t="shared" ref="M9:M15" si="0">G9-K9-L9</f>
        <v>1000000</v>
      </c>
      <c r="N9" s="30" t="s">
        <v>63</v>
      </c>
    </row>
    <row r="10" spans="1:14" ht="75">
      <c r="A10" s="30">
        <v>3</v>
      </c>
      <c r="B10" s="30" t="s">
        <v>68</v>
      </c>
      <c r="C10" s="31" t="s">
        <v>69</v>
      </c>
      <c r="D10" s="31" t="s">
        <v>70</v>
      </c>
      <c r="E10" s="31" t="s">
        <v>62</v>
      </c>
      <c r="F10" s="33">
        <v>2000000</v>
      </c>
      <c r="G10" s="33">
        <v>2000000</v>
      </c>
      <c r="H10" s="76">
        <v>43708</v>
      </c>
      <c r="I10" s="35">
        <v>0</v>
      </c>
      <c r="J10" s="35">
        <v>0</v>
      </c>
      <c r="K10" s="36">
        <v>0</v>
      </c>
      <c r="L10" s="36">
        <v>0</v>
      </c>
      <c r="M10" s="33">
        <f>G10-K10-L10</f>
        <v>2000000</v>
      </c>
      <c r="N10" s="30" t="s">
        <v>63</v>
      </c>
    </row>
    <row r="11" spans="1:14" ht="60">
      <c r="A11" s="30">
        <v>4</v>
      </c>
      <c r="B11" s="30" t="s">
        <v>71</v>
      </c>
      <c r="C11" s="43" t="s">
        <v>72</v>
      </c>
      <c r="D11" s="43" t="s">
        <v>73</v>
      </c>
      <c r="E11" s="43" t="s">
        <v>62</v>
      </c>
      <c r="F11" s="39">
        <v>102000</v>
      </c>
      <c r="G11" s="39">
        <v>102000</v>
      </c>
      <c r="H11" s="76">
        <v>43343</v>
      </c>
      <c r="I11" s="35">
        <v>0</v>
      </c>
      <c r="J11" s="35">
        <v>0</v>
      </c>
      <c r="K11" s="44">
        <v>0</v>
      </c>
      <c r="L11" s="44">
        <v>0</v>
      </c>
      <c r="M11" s="33">
        <f t="shared" si="0"/>
        <v>102000</v>
      </c>
      <c r="N11" s="30" t="s">
        <v>63</v>
      </c>
    </row>
    <row r="12" spans="1:14" ht="60">
      <c r="A12" s="30">
        <v>5</v>
      </c>
      <c r="B12" s="30" t="s">
        <v>74</v>
      </c>
      <c r="C12" s="43" t="s">
        <v>75</v>
      </c>
      <c r="D12" s="43" t="s">
        <v>76</v>
      </c>
      <c r="E12" s="43" t="s">
        <v>62</v>
      </c>
      <c r="F12" s="39">
        <v>73000</v>
      </c>
      <c r="G12" s="39">
        <v>73000</v>
      </c>
      <c r="H12" s="76">
        <v>43343</v>
      </c>
      <c r="I12" s="35">
        <v>0</v>
      </c>
      <c r="J12" s="35">
        <v>0</v>
      </c>
      <c r="K12" s="44">
        <v>0</v>
      </c>
      <c r="L12" s="44">
        <v>0</v>
      </c>
      <c r="M12" s="33">
        <f t="shared" si="0"/>
        <v>73000</v>
      </c>
      <c r="N12" s="30" t="s">
        <v>63</v>
      </c>
    </row>
    <row r="13" spans="1:14" ht="75">
      <c r="A13" s="30">
        <v>6</v>
      </c>
      <c r="B13" s="30" t="s">
        <v>77</v>
      </c>
      <c r="C13" s="43" t="s">
        <v>60</v>
      </c>
      <c r="D13" s="31" t="s">
        <v>78</v>
      </c>
      <c r="E13" s="43" t="s">
        <v>62</v>
      </c>
      <c r="F13" s="33">
        <v>575000</v>
      </c>
      <c r="G13" s="39">
        <v>575000</v>
      </c>
      <c r="H13" s="76">
        <v>43708</v>
      </c>
      <c r="I13" s="35"/>
      <c r="J13" s="35"/>
      <c r="K13" s="44"/>
      <c r="L13" s="44"/>
      <c r="M13" s="33">
        <f t="shared" si="0"/>
        <v>575000</v>
      </c>
      <c r="N13" s="30" t="s">
        <v>63</v>
      </c>
    </row>
    <row r="14" spans="1:14" ht="60">
      <c r="A14" s="30">
        <v>7</v>
      </c>
      <c r="B14" s="30" t="s">
        <v>79</v>
      </c>
      <c r="C14" s="43" t="s">
        <v>72</v>
      </c>
      <c r="D14" s="43" t="s">
        <v>80</v>
      </c>
      <c r="E14" s="43" t="s">
        <v>62</v>
      </c>
      <c r="F14" s="39">
        <v>102000</v>
      </c>
      <c r="G14" s="39">
        <v>102000</v>
      </c>
      <c r="H14" s="76">
        <v>43708</v>
      </c>
      <c r="I14" s="35">
        <v>0</v>
      </c>
      <c r="J14" s="35">
        <v>0</v>
      </c>
      <c r="K14" s="44">
        <v>0</v>
      </c>
      <c r="L14" s="44">
        <v>0</v>
      </c>
      <c r="M14" s="33">
        <f t="shared" si="0"/>
        <v>102000</v>
      </c>
      <c r="N14" s="30" t="s">
        <v>63</v>
      </c>
    </row>
    <row r="15" spans="1:14" ht="60.75" thickBot="1">
      <c r="A15" s="30">
        <v>8</v>
      </c>
      <c r="B15" s="30" t="s">
        <v>81</v>
      </c>
      <c r="C15" s="43" t="s">
        <v>75</v>
      </c>
      <c r="D15" s="43" t="s">
        <v>82</v>
      </c>
      <c r="E15" s="43" t="s">
        <v>62</v>
      </c>
      <c r="F15" s="39">
        <v>73000</v>
      </c>
      <c r="G15" s="39">
        <v>73000</v>
      </c>
      <c r="H15" s="76">
        <v>43708</v>
      </c>
      <c r="I15" s="35">
        <v>0</v>
      </c>
      <c r="J15" s="35">
        <v>0</v>
      </c>
      <c r="K15" s="44">
        <v>0</v>
      </c>
      <c r="L15" s="44">
        <v>0</v>
      </c>
      <c r="M15" s="33">
        <f t="shared" si="0"/>
        <v>73000</v>
      </c>
      <c r="N15" s="30" t="s">
        <v>63</v>
      </c>
    </row>
    <row r="16" spans="1:14" ht="16.5" thickBot="1">
      <c r="A16" s="73"/>
      <c r="B16" s="78"/>
      <c r="C16" s="73"/>
      <c r="D16" s="73"/>
      <c r="E16" s="79" t="s">
        <v>54</v>
      </c>
      <c r="F16" s="80">
        <f>SUM(F8:F15)</f>
        <v>6350000</v>
      </c>
      <c r="G16" s="80">
        <f>SUM(G8:G15)</f>
        <v>6350000</v>
      </c>
      <c r="H16" s="81"/>
      <c r="I16" s="82"/>
      <c r="J16" s="82"/>
      <c r="K16" s="80">
        <f>SUM(K8:K15)</f>
        <v>1000000</v>
      </c>
      <c r="L16" s="80">
        <f>SUM(L8:L15)</f>
        <v>0</v>
      </c>
      <c r="M16" s="80">
        <f>SUM(M8:M15)</f>
        <v>5350000</v>
      </c>
      <c r="N16" s="81"/>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H18" sqref="H18"/>
    </sheetView>
  </sheetViews>
  <sheetFormatPr defaultRowHeight="15"/>
  <sheetData>
    <row r="1" spans="1:14" ht="31.5">
      <c r="B1" s="20" t="s">
        <v>17</v>
      </c>
      <c r="C1" s="537" t="s">
        <v>55</v>
      </c>
      <c r="D1" s="538"/>
      <c r="E1" s="21"/>
      <c r="I1" s="22"/>
    </row>
    <row r="2" spans="1:14" ht="15.75">
      <c r="B2" s="20" t="s">
        <v>19</v>
      </c>
      <c r="C2" s="539">
        <v>43004</v>
      </c>
      <c r="D2" s="540"/>
      <c r="E2" s="23"/>
      <c r="G2" s="22"/>
      <c r="H2" s="24"/>
      <c r="I2" s="22"/>
      <c r="J2" s="22"/>
      <c r="M2" s="127"/>
    </row>
    <row r="3" spans="1:14" ht="31.5">
      <c r="B3" s="20" t="s">
        <v>20</v>
      </c>
      <c r="C3" s="541" t="s">
        <v>56</v>
      </c>
      <c r="D3" s="542"/>
      <c r="E3" s="26"/>
    </row>
    <row r="4" spans="1:14" ht="15.75">
      <c r="B4" s="27"/>
      <c r="C4" s="28"/>
      <c r="D4" s="29"/>
      <c r="E4" s="29"/>
    </row>
    <row r="5" spans="1:14">
      <c r="A5" s="543" t="s">
        <v>57</v>
      </c>
      <c r="B5" s="613" t="s">
        <v>789</v>
      </c>
      <c r="C5" s="614"/>
      <c r="D5" s="614"/>
      <c r="E5" s="614"/>
      <c r="F5" s="614"/>
      <c r="G5" s="614"/>
      <c r="H5" s="614"/>
      <c r="I5" s="614"/>
      <c r="J5" s="614"/>
      <c r="K5" s="614"/>
      <c r="L5" s="614"/>
      <c r="M5" s="614"/>
      <c r="N5" s="615"/>
    </row>
    <row r="6" spans="1:14">
      <c r="A6" s="544"/>
      <c r="B6" s="616"/>
      <c r="C6" s="617"/>
      <c r="D6" s="617"/>
      <c r="E6" s="617"/>
      <c r="F6" s="617"/>
      <c r="G6" s="617"/>
      <c r="H6" s="617"/>
      <c r="I6" s="617"/>
      <c r="J6" s="617"/>
      <c r="K6" s="617"/>
      <c r="L6" s="617"/>
      <c r="M6" s="617"/>
      <c r="N6" s="618"/>
    </row>
    <row r="7" spans="1:14">
      <c r="A7" s="545"/>
      <c r="B7" s="619"/>
      <c r="C7" s="620"/>
      <c r="D7" s="620"/>
      <c r="E7" s="620"/>
      <c r="F7" s="620"/>
      <c r="G7" s="620"/>
      <c r="H7" s="620"/>
      <c r="I7" s="620"/>
      <c r="J7" s="620"/>
      <c r="K7" s="620"/>
      <c r="L7" s="620"/>
      <c r="M7" s="620"/>
      <c r="N7" s="621"/>
    </row>
    <row r="8" spans="1:14">
      <c r="A8" s="30" t="s">
        <v>790</v>
      </c>
      <c r="B8" s="537" t="s">
        <v>791</v>
      </c>
      <c r="C8" s="612"/>
      <c r="D8" s="612"/>
      <c r="E8" s="612"/>
      <c r="F8" s="612"/>
      <c r="G8" s="612"/>
      <c r="H8" s="612"/>
      <c r="I8" s="612"/>
      <c r="J8" s="612"/>
      <c r="K8" s="612"/>
      <c r="L8" s="612"/>
      <c r="M8" s="612"/>
      <c r="N8" s="538"/>
    </row>
    <row r="9" spans="1:14">
      <c r="A9" s="37">
        <v>2</v>
      </c>
      <c r="B9" s="537" t="s">
        <v>792</v>
      </c>
      <c r="C9" s="612"/>
      <c r="D9" s="612"/>
      <c r="E9" s="612"/>
      <c r="F9" s="612"/>
      <c r="G9" s="612"/>
      <c r="H9" s="612"/>
      <c r="I9" s="612"/>
      <c r="J9" s="612"/>
      <c r="K9" s="612"/>
      <c r="L9" s="612"/>
      <c r="M9" s="612"/>
      <c r="N9" s="538"/>
    </row>
    <row r="10" spans="1:14">
      <c r="A10" s="37">
        <v>3</v>
      </c>
      <c r="B10" s="537" t="s">
        <v>793</v>
      </c>
      <c r="C10" s="612"/>
      <c r="D10" s="612"/>
      <c r="E10" s="612"/>
      <c r="F10" s="612"/>
      <c r="G10" s="612"/>
      <c r="H10" s="612"/>
      <c r="I10" s="612"/>
      <c r="J10" s="612"/>
      <c r="K10" s="612"/>
      <c r="L10" s="612"/>
      <c r="M10" s="612"/>
      <c r="N10" s="538"/>
    </row>
    <row r="11" spans="1:14">
      <c r="A11" s="37" t="s">
        <v>794</v>
      </c>
      <c r="B11" s="537" t="s">
        <v>795</v>
      </c>
      <c r="C11" s="612"/>
      <c r="D11" s="612"/>
      <c r="E11" s="612"/>
      <c r="F11" s="612"/>
      <c r="G11" s="612"/>
      <c r="H11" s="612"/>
      <c r="I11" s="612"/>
      <c r="J11" s="612"/>
      <c r="K11" s="612"/>
      <c r="L11" s="612"/>
      <c r="M11" s="612"/>
      <c r="N11" s="538"/>
    </row>
    <row r="12" spans="1:14">
      <c r="A12" s="37" t="s">
        <v>796</v>
      </c>
      <c r="B12" s="537" t="s">
        <v>797</v>
      </c>
      <c r="C12" s="612"/>
      <c r="D12" s="612"/>
      <c r="E12" s="612"/>
      <c r="F12" s="612"/>
      <c r="G12" s="612"/>
      <c r="H12" s="612"/>
      <c r="I12" s="612"/>
      <c r="J12" s="612"/>
      <c r="K12" s="612"/>
      <c r="L12" s="612"/>
      <c r="M12" s="612"/>
      <c r="N12" s="538"/>
    </row>
  </sheetData>
  <mergeCells count="10">
    <mergeCell ref="A5:A7"/>
    <mergeCell ref="B5:N7"/>
    <mergeCell ref="B8:N8"/>
    <mergeCell ref="B9:N9"/>
    <mergeCell ref="B10:N10"/>
    <mergeCell ref="B11:N11"/>
    <mergeCell ref="B12:N12"/>
    <mergeCell ref="C1:D1"/>
    <mergeCell ref="C2:D2"/>
    <mergeCell ref="C3:D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opLeftCell="A7" workbookViewId="0">
      <selection activeCell="K5" sqref="K5:K7"/>
    </sheetView>
  </sheetViews>
  <sheetFormatPr defaultRowHeight="15"/>
  <cols>
    <col min="1" max="2" width="14" customWidth="1"/>
    <col min="3" max="3" width="12.28515625" customWidth="1"/>
    <col min="4" max="4" width="25.5703125" customWidth="1"/>
    <col min="5" max="5" width="11.140625" customWidth="1"/>
    <col min="6" max="6" width="16" customWidth="1"/>
    <col min="7" max="7" width="18.42578125" customWidth="1"/>
    <col min="8" max="8" width="14.140625" customWidth="1"/>
    <col min="9" max="9" width="16" customWidth="1"/>
    <col min="10" max="10" width="14.42578125" customWidth="1"/>
    <col min="11" max="11" width="17.85546875" customWidth="1"/>
    <col min="12" max="12" width="13.42578125" customWidth="1"/>
    <col min="13" max="13" width="18.42578125" customWidth="1"/>
  </cols>
  <sheetData>
    <row r="1" spans="1:14" ht="18.75">
      <c r="A1" s="83"/>
      <c r="B1" s="84" t="s">
        <v>17</v>
      </c>
      <c r="C1" s="622" t="s">
        <v>83</v>
      </c>
      <c r="D1" s="623"/>
      <c r="E1" s="85"/>
      <c r="F1" s="83"/>
      <c r="G1" s="83"/>
      <c r="H1" s="83"/>
      <c r="I1" s="86"/>
      <c r="J1" s="83"/>
      <c r="K1" s="83"/>
      <c r="L1" s="83"/>
      <c r="M1" s="83"/>
      <c r="N1" s="83"/>
    </row>
    <row r="2" spans="1:14" ht="18.75">
      <c r="A2" s="83"/>
      <c r="B2" s="84" t="s">
        <v>19</v>
      </c>
      <c r="C2" s="624">
        <v>42997</v>
      </c>
      <c r="D2" s="625"/>
      <c r="E2" s="87"/>
      <c r="F2" s="83"/>
      <c r="G2" s="86"/>
      <c r="H2" s="88"/>
      <c r="I2" s="86"/>
      <c r="J2" s="86"/>
      <c r="K2" s="83"/>
      <c r="L2" s="83"/>
      <c r="M2" s="89">
        <v>42968</v>
      </c>
      <c r="N2" s="83"/>
    </row>
    <row r="3" spans="1:14" ht="37.5">
      <c r="A3" s="83"/>
      <c r="B3" s="84" t="s">
        <v>20</v>
      </c>
      <c r="C3" s="626" t="s">
        <v>84</v>
      </c>
      <c r="D3" s="627"/>
      <c r="E3" s="90"/>
      <c r="F3" s="83"/>
      <c r="G3" s="83"/>
      <c r="H3" s="83"/>
      <c r="I3" s="83"/>
      <c r="J3" s="83"/>
      <c r="K3" s="83"/>
      <c r="L3" s="83"/>
      <c r="M3" s="83"/>
      <c r="N3" s="83"/>
    </row>
    <row r="4" spans="1:14" ht="9" customHeight="1">
      <c r="A4" s="83"/>
      <c r="B4" s="91"/>
      <c r="C4" s="92"/>
      <c r="D4" s="93"/>
      <c r="E4" s="93"/>
      <c r="F4" s="83"/>
      <c r="G4" s="83"/>
      <c r="H4" s="83"/>
      <c r="I4" s="83"/>
      <c r="J4" s="83"/>
      <c r="K4" s="83"/>
      <c r="L4" s="83"/>
      <c r="M4" s="83"/>
      <c r="N4" s="83"/>
    </row>
    <row r="5" spans="1:14" s="29" customFormat="1">
      <c r="A5" s="628" t="s">
        <v>57</v>
      </c>
      <c r="B5" s="631" t="s">
        <v>22</v>
      </c>
      <c r="C5" s="631" t="s">
        <v>23</v>
      </c>
      <c r="D5" s="631" t="s">
        <v>24</v>
      </c>
      <c r="E5" s="631" t="s">
        <v>25</v>
      </c>
      <c r="F5" s="631" t="s">
        <v>15</v>
      </c>
      <c r="G5" s="631" t="s">
        <v>58</v>
      </c>
      <c r="H5" s="628" t="s">
        <v>26</v>
      </c>
      <c r="I5" s="632" t="s">
        <v>27</v>
      </c>
      <c r="J5" s="631" t="s">
        <v>28</v>
      </c>
      <c r="K5" s="628" t="s">
        <v>13</v>
      </c>
      <c r="L5" s="628" t="s">
        <v>11</v>
      </c>
      <c r="M5" s="628" t="s">
        <v>9</v>
      </c>
      <c r="N5" s="628" t="s">
        <v>31</v>
      </c>
    </row>
    <row r="6" spans="1:14" s="29" customFormat="1">
      <c r="A6" s="629"/>
      <c r="B6" s="631"/>
      <c r="C6" s="631"/>
      <c r="D6" s="631"/>
      <c r="E6" s="631"/>
      <c r="F6" s="631"/>
      <c r="G6" s="631"/>
      <c r="H6" s="629"/>
      <c r="I6" s="633"/>
      <c r="J6" s="631"/>
      <c r="K6" s="629"/>
      <c r="L6" s="629"/>
      <c r="M6" s="629"/>
      <c r="N6" s="629"/>
    </row>
    <row r="7" spans="1:14" s="29" customFormat="1" ht="48" customHeight="1">
      <c r="A7" s="630"/>
      <c r="B7" s="631"/>
      <c r="C7" s="631"/>
      <c r="D7" s="631"/>
      <c r="E7" s="631"/>
      <c r="F7" s="631"/>
      <c r="G7" s="631"/>
      <c r="H7" s="630"/>
      <c r="I7" s="634"/>
      <c r="J7" s="631"/>
      <c r="K7" s="630"/>
      <c r="L7" s="630"/>
      <c r="M7" s="630"/>
      <c r="N7" s="630"/>
    </row>
    <row r="8" spans="1:14" s="29" customFormat="1" ht="150">
      <c r="A8" s="94">
        <v>1</v>
      </c>
      <c r="B8" s="94" t="s">
        <v>85</v>
      </c>
      <c r="C8" s="95" t="s">
        <v>86</v>
      </c>
      <c r="D8" s="96" t="s">
        <v>87</v>
      </c>
      <c r="E8" s="94" t="s">
        <v>88</v>
      </c>
      <c r="F8" s="97">
        <v>1250000</v>
      </c>
      <c r="G8" s="98">
        <v>1250000</v>
      </c>
      <c r="H8" s="99">
        <v>2019</v>
      </c>
      <c r="I8" s="100">
        <v>0</v>
      </c>
      <c r="J8" s="100">
        <v>0</v>
      </c>
      <c r="K8" s="101">
        <v>0</v>
      </c>
      <c r="L8" s="101">
        <v>0</v>
      </c>
      <c r="M8" s="97">
        <f>G8-K8-L8</f>
        <v>1250000</v>
      </c>
      <c r="N8" s="94" t="s">
        <v>89</v>
      </c>
    </row>
    <row r="9" spans="1:14" ht="150">
      <c r="A9" s="102">
        <v>2</v>
      </c>
      <c r="B9" s="102" t="s">
        <v>90</v>
      </c>
      <c r="C9" s="95" t="s">
        <v>91</v>
      </c>
      <c r="D9" s="99" t="s">
        <v>87</v>
      </c>
      <c r="E9" s="94" t="s">
        <v>88</v>
      </c>
      <c r="F9" s="103">
        <v>1250000</v>
      </c>
      <c r="G9" s="104">
        <v>1250000</v>
      </c>
      <c r="H9" s="99">
        <v>2019</v>
      </c>
      <c r="I9" s="100">
        <v>0</v>
      </c>
      <c r="J9" s="100">
        <v>0</v>
      </c>
      <c r="K9" s="105">
        <v>0</v>
      </c>
      <c r="L9" s="105">
        <v>0</v>
      </c>
      <c r="M9" s="97">
        <f t="shared" ref="M9:M22" si="0">G9-K9-L9</f>
        <v>1250000</v>
      </c>
      <c r="N9" s="94" t="s">
        <v>89</v>
      </c>
    </row>
    <row r="10" spans="1:14" s="29" customFormat="1" ht="131.25">
      <c r="A10" s="94">
        <v>3</v>
      </c>
      <c r="B10" s="94" t="s">
        <v>92</v>
      </c>
      <c r="C10" s="95" t="s">
        <v>93</v>
      </c>
      <c r="D10" s="99" t="s">
        <v>94</v>
      </c>
      <c r="E10" s="94" t="s">
        <v>88</v>
      </c>
      <c r="F10" s="103">
        <v>2200000</v>
      </c>
      <c r="G10" s="125">
        <v>2200000</v>
      </c>
      <c r="H10" s="126">
        <v>43252</v>
      </c>
      <c r="I10" s="100">
        <v>0.01</v>
      </c>
      <c r="J10" s="100">
        <v>0.01</v>
      </c>
      <c r="K10" s="106">
        <v>9854</v>
      </c>
      <c r="L10" s="106">
        <v>0</v>
      </c>
      <c r="M10" s="97">
        <f t="shared" si="0"/>
        <v>2190146</v>
      </c>
      <c r="N10" s="94" t="s">
        <v>89</v>
      </c>
    </row>
    <row r="11" spans="1:14" ht="18.75">
      <c r="A11" s="102"/>
      <c r="B11" s="102"/>
      <c r="C11" s="107"/>
      <c r="D11" s="108"/>
      <c r="E11" s="108"/>
      <c r="F11" s="103"/>
      <c r="G11" s="109"/>
      <c r="H11" s="110"/>
      <c r="I11" s="110"/>
      <c r="J11" s="110"/>
      <c r="K11" s="105"/>
      <c r="L11" s="105"/>
      <c r="M11" s="97">
        <f t="shared" si="0"/>
        <v>0</v>
      </c>
      <c r="N11" s="107"/>
    </row>
    <row r="12" spans="1:14" ht="18.75">
      <c r="A12" s="102"/>
      <c r="B12" s="102"/>
      <c r="C12" s="107"/>
      <c r="D12" s="107"/>
      <c r="E12" s="107"/>
      <c r="F12" s="103"/>
      <c r="G12" s="109"/>
      <c r="H12" s="110"/>
      <c r="I12" s="110"/>
      <c r="J12" s="110"/>
      <c r="K12" s="106"/>
      <c r="L12" s="106"/>
      <c r="M12" s="97">
        <f t="shared" si="0"/>
        <v>0</v>
      </c>
      <c r="N12" s="94"/>
    </row>
    <row r="13" spans="1:14" ht="18.75">
      <c r="A13" s="102"/>
      <c r="B13" s="102"/>
      <c r="C13" s="107"/>
      <c r="D13" s="107"/>
      <c r="E13" s="107"/>
      <c r="F13" s="103"/>
      <c r="G13" s="109"/>
      <c r="H13" s="110"/>
      <c r="I13" s="110"/>
      <c r="J13" s="110"/>
      <c r="K13" s="106"/>
      <c r="L13" s="106"/>
      <c r="M13" s="97">
        <f t="shared" si="0"/>
        <v>0</v>
      </c>
      <c r="N13" s="94"/>
    </row>
    <row r="14" spans="1:14" ht="18.75">
      <c r="A14" s="102"/>
      <c r="B14" s="102"/>
      <c r="C14" s="107"/>
      <c r="D14" s="107"/>
      <c r="E14" s="107"/>
      <c r="F14" s="103"/>
      <c r="G14" s="109"/>
      <c r="H14" s="110"/>
      <c r="I14" s="110"/>
      <c r="J14" s="110"/>
      <c r="K14" s="106"/>
      <c r="L14" s="106"/>
      <c r="M14" s="97">
        <f t="shared" si="0"/>
        <v>0</v>
      </c>
      <c r="N14" s="94"/>
    </row>
    <row r="15" spans="1:14" ht="18.75">
      <c r="A15" s="102"/>
      <c r="B15" s="102"/>
      <c r="C15" s="107"/>
      <c r="D15" s="107"/>
      <c r="E15" s="107"/>
      <c r="F15" s="103"/>
      <c r="G15" s="109"/>
      <c r="H15" s="110"/>
      <c r="I15" s="110"/>
      <c r="J15" s="110"/>
      <c r="K15" s="106"/>
      <c r="L15" s="106"/>
      <c r="M15" s="97">
        <f t="shared" si="0"/>
        <v>0</v>
      </c>
      <c r="N15" s="94"/>
    </row>
    <row r="16" spans="1:14" ht="18.75">
      <c r="A16" s="102"/>
      <c r="B16" s="102"/>
      <c r="C16" s="107"/>
      <c r="D16" s="107"/>
      <c r="E16" s="107"/>
      <c r="F16" s="103"/>
      <c r="G16" s="109"/>
      <c r="H16" s="110"/>
      <c r="I16" s="110"/>
      <c r="J16" s="110"/>
      <c r="K16" s="105"/>
      <c r="L16" s="105"/>
      <c r="M16" s="97">
        <f t="shared" si="0"/>
        <v>0</v>
      </c>
      <c r="N16" s="107"/>
    </row>
    <row r="17" spans="1:14" ht="18.75">
      <c r="A17" s="107"/>
      <c r="B17" s="102"/>
      <c r="C17" s="107"/>
      <c r="D17" s="107"/>
      <c r="E17" s="107"/>
      <c r="F17" s="107"/>
      <c r="G17" s="111"/>
      <c r="H17" s="107"/>
      <c r="I17" s="107"/>
      <c r="J17" s="107"/>
      <c r="K17" s="112"/>
      <c r="L17" s="112"/>
      <c r="M17" s="97">
        <f t="shared" si="0"/>
        <v>0</v>
      </c>
      <c r="N17" s="107"/>
    </row>
    <row r="18" spans="1:14" ht="18.75">
      <c r="A18" s="107"/>
      <c r="B18" s="113"/>
      <c r="C18" s="113"/>
      <c r="D18" s="107"/>
      <c r="E18" s="107"/>
      <c r="F18" s="107"/>
      <c r="G18" s="107"/>
      <c r="H18" s="107"/>
      <c r="I18" s="107"/>
      <c r="J18" s="107"/>
      <c r="K18" s="112"/>
      <c r="L18" s="112"/>
      <c r="M18" s="97">
        <f t="shared" si="0"/>
        <v>0</v>
      </c>
      <c r="N18" s="107"/>
    </row>
    <row r="19" spans="1:14" ht="18.75">
      <c r="A19" s="102"/>
      <c r="B19" s="102"/>
      <c r="C19" s="107"/>
      <c r="D19" s="107"/>
      <c r="E19" s="107"/>
      <c r="F19" s="103"/>
      <c r="G19" s="109"/>
      <c r="H19" s="110"/>
      <c r="I19" s="110"/>
      <c r="J19" s="110"/>
      <c r="K19" s="105"/>
      <c r="L19" s="105"/>
      <c r="M19" s="97">
        <f t="shared" si="0"/>
        <v>0</v>
      </c>
      <c r="N19" s="107"/>
    </row>
    <row r="20" spans="1:14" ht="18.75">
      <c r="A20" s="107"/>
      <c r="B20" s="102"/>
      <c r="C20" s="107"/>
      <c r="D20" s="107"/>
      <c r="E20" s="107"/>
      <c r="F20" s="107"/>
      <c r="G20" s="111"/>
      <c r="H20" s="107"/>
      <c r="I20" s="107"/>
      <c r="J20" s="107"/>
      <c r="K20" s="112"/>
      <c r="L20" s="112"/>
      <c r="M20" s="97">
        <f t="shared" si="0"/>
        <v>0</v>
      </c>
      <c r="N20" s="107"/>
    </row>
    <row r="21" spans="1:14" ht="19.5" thickBot="1">
      <c r="A21" s="107"/>
      <c r="B21" s="113"/>
      <c r="C21" s="113"/>
      <c r="D21" s="107"/>
      <c r="E21" s="114"/>
      <c r="F21" s="114"/>
      <c r="G21" s="114"/>
      <c r="H21" s="107"/>
      <c r="I21" s="114"/>
      <c r="J21" s="114"/>
      <c r="K21" s="115"/>
      <c r="L21" s="115"/>
      <c r="M21" s="116">
        <f t="shared" si="0"/>
        <v>0</v>
      </c>
      <c r="N21" s="114"/>
    </row>
    <row r="22" spans="1:14" ht="19.5" thickBot="1">
      <c r="A22" s="86"/>
      <c r="B22" s="117"/>
      <c r="C22" s="118"/>
      <c r="D22" s="118"/>
      <c r="E22" s="119" t="s">
        <v>54</v>
      </c>
      <c r="F22" s="120">
        <f>SUM(F8:F21)</f>
        <v>4700000</v>
      </c>
      <c r="G22" s="121">
        <f>SUM(G8:G21)</f>
        <v>4700000</v>
      </c>
      <c r="H22" s="122"/>
      <c r="I22" s="123"/>
      <c r="J22" s="123"/>
      <c r="K22" s="120">
        <f>SUM(K8:K21)</f>
        <v>9854</v>
      </c>
      <c r="L22" s="121">
        <f>SUM(L8:L21)</f>
        <v>0</v>
      </c>
      <c r="M22" s="124">
        <f t="shared" si="0"/>
        <v>4690146</v>
      </c>
      <c r="N22" s="122"/>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G20" sqref="G20"/>
    </sheetView>
  </sheetViews>
  <sheetFormatPr defaultRowHeight="15"/>
  <cols>
    <col min="2" max="2" width="15.140625" customWidth="1"/>
    <col min="3" max="3" width="14.28515625" customWidth="1"/>
    <col min="4" max="4" width="15" customWidth="1"/>
    <col min="5" max="5" width="14.140625" customWidth="1"/>
    <col min="6" max="6" width="14.85546875" customWidth="1"/>
    <col min="7" max="7" width="13.85546875" customWidth="1"/>
    <col min="8" max="8" width="14" customWidth="1"/>
    <col min="9" max="9" width="14.85546875" customWidth="1"/>
    <col min="10" max="10" width="15.28515625" customWidth="1"/>
    <col min="11" max="11" width="16.28515625" customWidth="1"/>
    <col min="12" max="12" width="13" customWidth="1"/>
    <col min="13" max="13" width="14.7109375" customWidth="1"/>
    <col min="14" max="14" width="24.85546875" customWidth="1"/>
  </cols>
  <sheetData>
    <row r="1" spans="1:14" ht="15.75">
      <c r="B1" s="20" t="s">
        <v>17</v>
      </c>
      <c r="C1" s="537" t="s">
        <v>818</v>
      </c>
      <c r="D1" s="538"/>
      <c r="E1" s="21"/>
      <c r="I1" s="22"/>
    </row>
    <row r="2" spans="1:14" ht="15.75">
      <c r="B2" s="20" t="s">
        <v>19</v>
      </c>
      <c r="C2" s="539">
        <v>43012</v>
      </c>
      <c r="D2" s="540"/>
      <c r="E2" s="23"/>
      <c r="G2" s="22"/>
      <c r="H2" s="24"/>
      <c r="I2" s="22"/>
      <c r="J2" s="22"/>
      <c r="M2" s="127"/>
    </row>
    <row r="3" spans="1:14" ht="31.5">
      <c r="B3" s="20" t="s">
        <v>20</v>
      </c>
      <c r="C3" s="541" t="s">
        <v>819</v>
      </c>
      <c r="D3" s="542"/>
      <c r="E3" s="26"/>
    </row>
    <row r="4" spans="1:14" ht="15.75">
      <c r="B4" s="27"/>
      <c r="C4" s="28"/>
      <c r="D4" s="29"/>
      <c r="E4" s="29"/>
    </row>
    <row r="5" spans="1:14" ht="36" customHeight="1">
      <c r="A5" s="543" t="s">
        <v>57</v>
      </c>
      <c r="B5" s="547" t="s">
        <v>22</v>
      </c>
      <c r="C5" s="547" t="s">
        <v>23</v>
      </c>
      <c r="D5" s="547" t="s">
        <v>24</v>
      </c>
      <c r="E5" s="547" t="s">
        <v>25</v>
      </c>
      <c r="F5" s="547" t="s">
        <v>15</v>
      </c>
      <c r="G5" s="547" t="s">
        <v>58</v>
      </c>
      <c r="H5" s="543" t="s">
        <v>26</v>
      </c>
      <c r="I5" s="609" t="s">
        <v>27</v>
      </c>
      <c r="J5" s="547" t="s">
        <v>28</v>
      </c>
      <c r="K5" s="543" t="s">
        <v>13</v>
      </c>
      <c r="L5" s="543" t="s">
        <v>11</v>
      </c>
      <c r="M5" s="543" t="s">
        <v>9</v>
      </c>
      <c r="N5" s="543" t="s">
        <v>31</v>
      </c>
    </row>
    <row r="6" spans="1:14" ht="36" customHeight="1">
      <c r="A6" s="544"/>
      <c r="B6" s="547"/>
      <c r="C6" s="547"/>
      <c r="D6" s="547"/>
      <c r="E6" s="547"/>
      <c r="F6" s="547"/>
      <c r="G6" s="547"/>
      <c r="H6" s="544"/>
      <c r="I6" s="610"/>
      <c r="J6" s="547"/>
      <c r="K6" s="544"/>
      <c r="L6" s="544"/>
      <c r="M6" s="544"/>
      <c r="N6" s="544"/>
    </row>
    <row r="7" spans="1:14" ht="36" customHeight="1">
      <c r="A7" s="545"/>
      <c r="B7" s="547"/>
      <c r="C7" s="547"/>
      <c r="D7" s="547"/>
      <c r="E7" s="547"/>
      <c r="F7" s="547"/>
      <c r="G7" s="547"/>
      <c r="H7" s="545"/>
      <c r="I7" s="611"/>
      <c r="J7" s="547"/>
      <c r="K7" s="545"/>
      <c r="L7" s="545"/>
      <c r="M7" s="545"/>
      <c r="N7" s="545"/>
    </row>
    <row r="8" spans="1:14" s="29" customFormat="1" ht="90">
      <c r="A8" s="30">
        <v>1</v>
      </c>
      <c r="B8" s="393" t="s">
        <v>820</v>
      </c>
      <c r="C8" s="43" t="s">
        <v>821</v>
      </c>
      <c r="D8" s="31" t="s">
        <v>827</v>
      </c>
      <c r="E8" s="31" t="s">
        <v>822</v>
      </c>
      <c r="F8" s="394">
        <v>1400000</v>
      </c>
      <c r="G8" s="395">
        <v>1400000</v>
      </c>
      <c r="H8" s="43" t="s">
        <v>828</v>
      </c>
      <c r="I8" s="35">
        <v>0</v>
      </c>
      <c r="J8" s="35">
        <v>0</v>
      </c>
      <c r="K8" s="396">
        <v>0</v>
      </c>
      <c r="L8" s="396">
        <v>0</v>
      </c>
      <c r="M8" s="395">
        <v>1400000</v>
      </c>
      <c r="N8" s="43" t="s">
        <v>829</v>
      </c>
    </row>
    <row r="9" spans="1:14" ht="120">
      <c r="A9" s="37"/>
      <c r="B9" s="393" t="s">
        <v>820</v>
      </c>
      <c r="C9" s="31" t="s">
        <v>823</v>
      </c>
      <c r="D9" s="31" t="s">
        <v>824</v>
      </c>
      <c r="E9" s="31" t="s">
        <v>825</v>
      </c>
      <c r="F9" s="395">
        <v>400000</v>
      </c>
      <c r="G9" s="395">
        <v>400000</v>
      </c>
      <c r="H9" s="34">
        <v>43708</v>
      </c>
      <c r="I9" s="35">
        <v>1</v>
      </c>
      <c r="J9" s="35">
        <v>0</v>
      </c>
      <c r="K9" s="396">
        <v>0</v>
      </c>
      <c r="L9" s="396">
        <v>0</v>
      </c>
      <c r="M9" s="395">
        <f>G9-K9-L9</f>
        <v>400000</v>
      </c>
      <c r="N9" s="31" t="s">
        <v>826</v>
      </c>
    </row>
    <row r="10" spans="1:14">
      <c r="A10" s="37"/>
      <c r="B10" s="37"/>
      <c r="C10" s="43"/>
      <c r="D10" s="31"/>
      <c r="E10" s="31"/>
      <c r="F10" s="395"/>
      <c r="G10" s="395"/>
      <c r="H10" s="43"/>
      <c r="I10" s="35"/>
      <c r="J10" s="35"/>
      <c r="K10" s="396"/>
      <c r="L10" s="396"/>
      <c r="M10" s="395">
        <f t="shared" ref="M10:M11" si="0">G10-K10-L10</f>
        <v>0</v>
      </c>
      <c r="N10" s="30"/>
    </row>
    <row r="11" spans="1:14" ht="16.5" thickBot="1">
      <c r="A11" s="37"/>
      <c r="B11" s="397"/>
      <c r="C11" s="43"/>
      <c r="D11" s="398"/>
      <c r="E11" s="398"/>
      <c r="F11" s="399"/>
      <c r="G11" s="395"/>
      <c r="H11" s="43"/>
      <c r="I11" s="35"/>
      <c r="J11" s="35"/>
      <c r="K11" s="396"/>
      <c r="L11" s="396"/>
      <c r="M11" s="400">
        <f t="shared" si="0"/>
        <v>0</v>
      </c>
      <c r="N11" s="61"/>
    </row>
    <row r="12" spans="1:14" ht="16.5" thickBot="1">
      <c r="A12" s="22"/>
      <c r="B12" s="64"/>
      <c r="C12" s="65"/>
      <c r="D12" s="401" t="s">
        <v>54</v>
      </c>
      <c r="E12" s="402"/>
      <c r="F12" s="67">
        <f>SUM(F8:F11)</f>
        <v>1800000</v>
      </c>
      <c r="G12" s="68">
        <f>SUM(G8:G10)</f>
        <v>1800000</v>
      </c>
      <c r="H12" s="70"/>
      <c r="I12" s="70"/>
      <c r="J12" s="70"/>
      <c r="K12" s="68">
        <f t="shared" ref="K12:L12" si="1">SUM(K8:K10)</f>
        <v>0</v>
      </c>
      <c r="L12" s="68">
        <f t="shared" si="1"/>
        <v>0</v>
      </c>
      <c r="M12" s="395">
        <f>SUM(M8:M11)</f>
        <v>1800000</v>
      </c>
      <c r="N12" s="22"/>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opLeftCell="A31" workbookViewId="0">
      <selection activeCell="G14" sqref="G14"/>
    </sheetView>
  </sheetViews>
  <sheetFormatPr defaultRowHeight="15"/>
  <cols>
    <col min="1" max="1" width="9.140625" customWidth="1"/>
    <col min="2" max="2" width="12.7109375" customWidth="1"/>
    <col min="3" max="3" width="25" customWidth="1"/>
    <col min="4" max="4" width="38.7109375" customWidth="1"/>
    <col min="5" max="5" width="13" customWidth="1"/>
    <col min="6" max="6" width="16.28515625" customWidth="1"/>
    <col min="7" max="7" width="14.140625" customWidth="1"/>
    <col min="8" max="8" width="3.140625" customWidth="1"/>
    <col min="9" max="10" width="15.7109375" customWidth="1"/>
    <col min="11" max="11" width="15.42578125" customWidth="1"/>
    <col min="12" max="12" width="16.85546875" customWidth="1"/>
    <col min="13" max="13" width="13.5703125" customWidth="1"/>
    <col min="14" max="14" width="15.5703125" customWidth="1"/>
  </cols>
  <sheetData>
    <row r="1" spans="1:15" ht="15.75">
      <c r="B1" s="20" t="s">
        <v>17</v>
      </c>
      <c r="C1" s="537" t="s">
        <v>208</v>
      </c>
      <c r="D1" s="538"/>
      <c r="E1" s="21"/>
      <c r="F1" s="147"/>
      <c r="J1" s="22"/>
    </row>
    <row r="2" spans="1:15" ht="15.75">
      <c r="B2" s="20" t="s">
        <v>19</v>
      </c>
      <c r="C2" s="539">
        <v>42996</v>
      </c>
      <c r="D2" s="540"/>
      <c r="E2" s="23"/>
      <c r="F2" s="147"/>
      <c r="G2" s="22"/>
      <c r="H2" s="22"/>
      <c r="I2" s="24"/>
      <c r="J2" s="22"/>
      <c r="K2" s="22"/>
      <c r="N2" s="127"/>
    </row>
    <row r="3" spans="1:15" ht="31.5">
      <c r="B3" s="20" t="s">
        <v>20</v>
      </c>
      <c r="C3" s="541" t="s">
        <v>96</v>
      </c>
      <c r="D3" s="542"/>
      <c r="E3" s="26"/>
      <c r="F3" s="147"/>
    </row>
    <row r="4" spans="1:15" ht="15.75">
      <c r="B4" s="27"/>
      <c r="C4" s="28"/>
      <c r="D4" s="29"/>
      <c r="E4" s="29"/>
      <c r="F4" s="147"/>
    </row>
    <row r="5" spans="1:15" ht="52.5" customHeight="1">
      <c r="A5" s="486" t="s">
        <v>57</v>
      </c>
      <c r="B5" s="489" t="s">
        <v>22</v>
      </c>
      <c r="C5" s="489" t="s">
        <v>23</v>
      </c>
      <c r="D5" s="489" t="s">
        <v>24</v>
      </c>
      <c r="E5" s="489" t="s">
        <v>25</v>
      </c>
      <c r="F5" s="635" t="s">
        <v>15</v>
      </c>
      <c r="G5" s="486" t="s">
        <v>58</v>
      </c>
      <c r="H5" s="486"/>
      <c r="I5" s="486" t="s">
        <v>26</v>
      </c>
      <c r="J5" s="491" t="s">
        <v>27</v>
      </c>
      <c r="K5" s="489" t="s">
        <v>28</v>
      </c>
      <c r="L5" s="486" t="s">
        <v>13</v>
      </c>
      <c r="M5" s="486" t="s">
        <v>11</v>
      </c>
      <c r="N5" s="486" t="s">
        <v>9</v>
      </c>
      <c r="O5" s="486" t="s">
        <v>31</v>
      </c>
    </row>
    <row r="6" spans="1:15" ht="52.5" customHeight="1">
      <c r="A6" s="487"/>
      <c r="B6" s="489"/>
      <c r="C6" s="489"/>
      <c r="D6" s="489"/>
      <c r="E6" s="489"/>
      <c r="F6" s="635"/>
      <c r="G6" s="487"/>
      <c r="H6" s="487"/>
      <c r="I6" s="487"/>
      <c r="J6" s="492"/>
      <c r="K6" s="489"/>
      <c r="L6" s="487"/>
      <c r="M6" s="487"/>
      <c r="N6" s="487"/>
      <c r="O6" s="487"/>
    </row>
    <row r="7" spans="1:15" ht="52.5" customHeight="1">
      <c r="A7" s="488"/>
      <c r="B7" s="489"/>
      <c r="C7" s="489"/>
      <c r="D7" s="489"/>
      <c r="E7" s="489"/>
      <c r="F7" s="635"/>
      <c r="G7" s="488"/>
      <c r="H7" s="488"/>
      <c r="I7" s="488"/>
      <c r="J7" s="493"/>
      <c r="K7" s="489"/>
      <c r="L7" s="488"/>
      <c r="M7" s="488"/>
      <c r="N7" s="488"/>
      <c r="O7" s="488"/>
    </row>
    <row r="8" spans="1:15">
      <c r="A8" s="134">
        <v>1</v>
      </c>
      <c r="B8" s="32" t="s">
        <v>209</v>
      </c>
      <c r="C8" s="45" t="s">
        <v>210</v>
      </c>
      <c r="D8" s="32" t="s">
        <v>211</v>
      </c>
      <c r="E8" s="32" t="s">
        <v>100</v>
      </c>
      <c r="F8" s="148">
        <v>146392.95299999998</v>
      </c>
      <c r="G8" s="130"/>
      <c r="H8" s="130"/>
      <c r="I8" s="149" t="s">
        <v>101</v>
      </c>
      <c r="J8" s="131">
        <v>1</v>
      </c>
      <c r="K8" s="131">
        <v>0</v>
      </c>
      <c r="L8" s="132">
        <v>0</v>
      </c>
      <c r="M8" s="132">
        <v>0</v>
      </c>
      <c r="N8" s="130">
        <f t="shared" ref="N8:N45" si="0">G8-L8-M8</f>
        <v>0</v>
      </c>
      <c r="O8" s="134"/>
    </row>
    <row r="9" spans="1:15" s="29" customFormat="1">
      <c r="A9" s="134">
        <v>1</v>
      </c>
      <c r="B9" s="45" t="s">
        <v>212</v>
      </c>
      <c r="C9" s="45" t="s">
        <v>213</v>
      </c>
      <c r="D9" s="45" t="s">
        <v>214</v>
      </c>
      <c r="E9" s="32" t="s">
        <v>100</v>
      </c>
      <c r="F9" s="148">
        <v>1232937.3</v>
      </c>
      <c r="G9" s="130"/>
      <c r="H9" s="130"/>
      <c r="I9" s="156" t="s">
        <v>101</v>
      </c>
      <c r="J9" s="157">
        <v>1</v>
      </c>
      <c r="K9" s="157">
        <v>0</v>
      </c>
      <c r="L9" s="150"/>
      <c r="M9" s="150"/>
      <c r="N9" s="130">
        <f t="shared" si="0"/>
        <v>0</v>
      </c>
      <c r="O9" s="134"/>
    </row>
    <row r="10" spans="1:15" s="29" customFormat="1">
      <c r="A10" s="134">
        <v>1</v>
      </c>
      <c r="B10" s="45" t="s">
        <v>215</v>
      </c>
      <c r="C10" s="45" t="s">
        <v>216</v>
      </c>
      <c r="D10" s="45" t="s">
        <v>217</v>
      </c>
      <c r="E10" s="32" t="s">
        <v>100</v>
      </c>
      <c r="F10" s="148">
        <v>1502187</v>
      </c>
      <c r="G10" s="130"/>
      <c r="H10" s="130"/>
      <c r="I10" s="156" t="s">
        <v>101</v>
      </c>
      <c r="J10" s="157">
        <v>0.75</v>
      </c>
      <c r="K10" s="157">
        <v>0</v>
      </c>
      <c r="L10" s="150"/>
      <c r="M10" s="150"/>
      <c r="N10" s="130">
        <f t="shared" si="0"/>
        <v>0</v>
      </c>
      <c r="O10" s="45"/>
    </row>
    <row r="11" spans="1:15" s="29" customFormat="1" ht="30">
      <c r="A11" s="134">
        <v>1</v>
      </c>
      <c r="B11" s="45" t="s">
        <v>218</v>
      </c>
      <c r="C11" s="45" t="s">
        <v>219</v>
      </c>
      <c r="D11" s="45" t="s">
        <v>220</v>
      </c>
      <c r="E11" s="32" t="s">
        <v>100</v>
      </c>
      <c r="F11" s="148">
        <v>779820</v>
      </c>
      <c r="G11" s="130"/>
      <c r="H11" s="130"/>
      <c r="I11" s="156" t="s">
        <v>101</v>
      </c>
      <c r="J11" s="157">
        <v>0.75</v>
      </c>
      <c r="K11" s="157">
        <v>0</v>
      </c>
      <c r="L11" s="150"/>
      <c r="M11" s="150"/>
      <c r="N11" s="130">
        <f t="shared" si="0"/>
        <v>0</v>
      </c>
      <c r="O11" s="134"/>
    </row>
    <row r="12" spans="1:15" s="29" customFormat="1">
      <c r="A12" s="134">
        <v>1</v>
      </c>
      <c r="B12" s="45" t="s">
        <v>221</v>
      </c>
      <c r="C12" s="45" t="s">
        <v>222</v>
      </c>
      <c r="D12" s="45" t="s">
        <v>223</v>
      </c>
      <c r="E12" s="32" t="s">
        <v>100</v>
      </c>
      <c r="F12" s="148">
        <v>2432595.69</v>
      </c>
      <c r="G12" s="130"/>
      <c r="H12" s="130"/>
      <c r="I12" s="156" t="s">
        <v>101</v>
      </c>
      <c r="J12" s="157">
        <v>0</v>
      </c>
      <c r="K12" s="157">
        <v>0</v>
      </c>
      <c r="L12" s="150"/>
      <c r="M12" s="150"/>
      <c r="N12" s="130">
        <f t="shared" si="0"/>
        <v>0</v>
      </c>
      <c r="O12" s="134"/>
    </row>
    <row r="13" spans="1:15" s="29" customFormat="1">
      <c r="A13" s="134">
        <v>1</v>
      </c>
      <c r="B13" s="45" t="s">
        <v>224</v>
      </c>
      <c r="C13" s="45" t="s">
        <v>222</v>
      </c>
      <c r="D13" s="45" t="s">
        <v>225</v>
      </c>
      <c r="E13" s="32" t="s">
        <v>100</v>
      </c>
      <c r="F13" s="148">
        <v>343970.08799999999</v>
      </c>
      <c r="G13" s="130"/>
      <c r="H13" s="130"/>
      <c r="I13" s="156" t="s">
        <v>101</v>
      </c>
      <c r="J13" s="157">
        <v>0</v>
      </c>
      <c r="K13" s="157">
        <v>0</v>
      </c>
      <c r="L13" s="150"/>
      <c r="M13" s="150"/>
      <c r="N13" s="130">
        <f t="shared" si="0"/>
        <v>0</v>
      </c>
      <c r="O13" s="134"/>
    </row>
    <row r="14" spans="1:15" s="29" customFormat="1">
      <c r="A14" s="134">
        <v>1</v>
      </c>
      <c r="B14" s="45" t="s">
        <v>226</v>
      </c>
      <c r="C14" s="45" t="s">
        <v>227</v>
      </c>
      <c r="D14" s="45" t="s">
        <v>225</v>
      </c>
      <c r="E14" s="32" t="s">
        <v>100</v>
      </c>
      <c r="F14" s="148">
        <v>655961.25</v>
      </c>
      <c r="G14" s="130"/>
      <c r="H14" s="130"/>
      <c r="I14" s="156" t="s">
        <v>101</v>
      </c>
      <c r="J14" s="157">
        <v>0</v>
      </c>
      <c r="K14" s="157">
        <v>0</v>
      </c>
      <c r="L14" s="150"/>
      <c r="M14" s="150"/>
      <c r="N14" s="130">
        <f t="shared" si="0"/>
        <v>0</v>
      </c>
      <c r="O14" s="134"/>
    </row>
    <row r="15" spans="1:15" s="29" customFormat="1">
      <c r="A15" s="134">
        <v>1</v>
      </c>
      <c r="B15" s="45" t="s">
        <v>228</v>
      </c>
      <c r="C15" s="151" t="s">
        <v>227</v>
      </c>
      <c r="D15" s="45" t="s">
        <v>229</v>
      </c>
      <c r="E15" s="32" t="s">
        <v>100</v>
      </c>
      <c r="F15" s="148">
        <v>3270597.75</v>
      </c>
      <c r="G15" s="130"/>
      <c r="H15" s="130"/>
      <c r="I15" s="156" t="s">
        <v>101</v>
      </c>
      <c r="J15" s="157">
        <v>0</v>
      </c>
      <c r="K15" s="157">
        <v>0</v>
      </c>
      <c r="L15" s="150"/>
      <c r="M15" s="150"/>
      <c r="N15" s="130">
        <f t="shared" si="0"/>
        <v>0</v>
      </c>
      <c r="O15" s="45"/>
    </row>
    <row r="16" spans="1:15" s="29" customFormat="1">
      <c r="A16" s="134">
        <v>1</v>
      </c>
      <c r="B16" s="45" t="s">
        <v>230</v>
      </c>
      <c r="C16" s="151" t="s">
        <v>227</v>
      </c>
      <c r="D16" s="45" t="s">
        <v>231</v>
      </c>
      <c r="E16" s="32" t="s">
        <v>100</v>
      </c>
      <c r="F16" s="158">
        <v>1539567.75</v>
      </c>
      <c r="G16" s="130"/>
      <c r="H16" s="130"/>
      <c r="I16" s="156" t="s">
        <v>101</v>
      </c>
      <c r="J16" s="157">
        <v>0</v>
      </c>
      <c r="K16" s="157">
        <v>0</v>
      </c>
      <c r="L16" s="159"/>
      <c r="M16" s="159"/>
      <c r="N16" s="130">
        <f t="shared" si="0"/>
        <v>0</v>
      </c>
      <c r="O16" s="45"/>
    </row>
    <row r="17" spans="1:15" s="29" customFormat="1">
      <c r="A17" s="134">
        <v>1</v>
      </c>
      <c r="B17" s="32" t="s">
        <v>232</v>
      </c>
      <c r="C17" s="45" t="s">
        <v>210</v>
      </c>
      <c r="D17" s="32" t="s">
        <v>233</v>
      </c>
      <c r="E17" s="32" t="s">
        <v>100</v>
      </c>
      <c r="F17" s="148">
        <v>572985.23100000003</v>
      </c>
      <c r="G17" s="130"/>
      <c r="H17" s="130"/>
      <c r="I17" s="156" t="s">
        <v>101</v>
      </c>
      <c r="J17" s="157">
        <v>0</v>
      </c>
      <c r="K17" s="157">
        <v>0</v>
      </c>
      <c r="L17" s="132"/>
      <c r="M17" s="132"/>
      <c r="N17" s="130">
        <f t="shared" si="0"/>
        <v>0</v>
      </c>
      <c r="O17" s="134"/>
    </row>
    <row r="18" spans="1:15" s="29" customFormat="1">
      <c r="A18" s="134">
        <v>1</v>
      </c>
      <c r="B18" s="45" t="s">
        <v>234</v>
      </c>
      <c r="C18" s="151" t="s">
        <v>213</v>
      </c>
      <c r="D18" s="45" t="s">
        <v>235</v>
      </c>
      <c r="E18" s="32" t="s">
        <v>100</v>
      </c>
      <c r="F18" s="148">
        <v>3332580.3000000003</v>
      </c>
      <c r="G18" s="130"/>
      <c r="H18" s="130"/>
      <c r="I18" s="156" t="s">
        <v>101</v>
      </c>
      <c r="J18" s="157">
        <v>0</v>
      </c>
      <c r="K18" s="157">
        <v>0</v>
      </c>
      <c r="L18" s="150"/>
      <c r="M18" s="150"/>
      <c r="N18" s="130">
        <f t="shared" si="0"/>
        <v>0</v>
      </c>
      <c r="O18" s="134"/>
    </row>
    <row r="19" spans="1:15" s="29" customFormat="1">
      <c r="A19" s="134">
        <v>1</v>
      </c>
      <c r="B19" s="45" t="s">
        <v>236</v>
      </c>
      <c r="C19" s="151" t="s">
        <v>213</v>
      </c>
      <c r="D19" s="45" t="s">
        <v>237</v>
      </c>
      <c r="E19" s="32" t="s">
        <v>100</v>
      </c>
      <c r="F19" s="148">
        <v>3711701.7</v>
      </c>
      <c r="G19" s="130"/>
      <c r="H19" s="130"/>
      <c r="I19" s="156" t="s">
        <v>101</v>
      </c>
      <c r="J19" s="157">
        <v>0</v>
      </c>
      <c r="K19" s="157">
        <v>0</v>
      </c>
      <c r="L19" s="150"/>
      <c r="M19" s="150"/>
      <c r="N19" s="130">
        <f t="shared" si="0"/>
        <v>0</v>
      </c>
      <c r="O19" s="134"/>
    </row>
    <row r="20" spans="1:15" s="29" customFormat="1">
      <c r="A20" s="134">
        <v>1</v>
      </c>
      <c r="B20" s="45" t="s">
        <v>238</v>
      </c>
      <c r="C20" s="151" t="s">
        <v>213</v>
      </c>
      <c r="D20" s="45" t="s">
        <v>225</v>
      </c>
      <c r="E20" s="32" t="s">
        <v>100</v>
      </c>
      <c r="F20" s="148">
        <v>3705288.3000000003</v>
      </c>
      <c r="G20" s="130"/>
      <c r="H20" s="130"/>
      <c r="I20" s="156" t="s">
        <v>101</v>
      </c>
      <c r="J20" s="157">
        <v>0</v>
      </c>
      <c r="K20" s="157">
        <v>0</v>
      </c>
      <c r="L20" s="150"/>
      <c r="M20" s="150"/>
      <c r="N20" s="130">
        <f t="shared" si="0"/>
        <v>0</v>
      </c>
      <c r="O20" s="134"/>
    </row>
    <row r="21" spans="1:15" s="29" customFormat="1">
      <c r="A21" s="134">
        <v>1</v>
      </c>
      <c r="B21" s="45" t="s">
        <v>239</v>
      </c>
      <c r="C21" s="151" t="s">
        <v>213</v>
      </c>
      <c r="D21" s="45" t="s">
        <v>240</v>
      </c>
      <c r="E21" s="32" t="s">
        <v>100</v>
      </c>
      <c r="F21" s="148">
        <v>104863.5</v>
      </c>
      <c r="G21" s="130"/>
      <c r="H21" s="130"/>
      <c r="I21" s="156" t="s">
        <v>101</v>
      </c>
      <c r="J21" s="157">
        <v>0</v>
      </c>
      <c r="K21" s="157">
        <v>0</v>
      </c>
      <c r="L21" s="150"/>
      <c r="M21" s="150"/>
      <c r="N21" s="130"/>
      <c r="O21" s="134"/>
    </row>
    <row r="22" spans="1:15" s="29" customFormat="1">
      <c r="A22" s="134">
        <v>1</v>
      </c>
      <c r="B22" s="45" t="s">
        <v>241</v>
      </c>
      <c r="C22" s="151" t="s">
        <v>242</v>
      </c>
      <c r="D22" s="45" t="s">
        <v>243</v>
      </c>
      <c r="E22" s="32" t="s">
        <v>100</v>
      </c>
      <c r="F22" s="148">
        <v>400590.75</v>
      </c>
      <c r="G22" s="130"/>
      <c r="H22" s="130"/>
      <c r="I22" s="156" t="s">
        <v>101</v>
      </c>
      <c r="J22" s="157">
        <v>0</v>
      </c>
      <c r="K22" s="157">
        <v>0</v>
      </c>
      <c r="L22" s="150"/>
      <c r="M22" s="150"/>
      <c r="N22" s="130">
        <f t="shared" si="0"/>
        <v>0</v>
      </c>
      <c r="O22" s="134"/>
    </row>
    <row r="23" spans="1:15" s="29" customFormat="1">
      <c r="A23" s="134">
        <v>1</v>
      </c>
      <c r="B23" s="45" t="s">
        <v>244</v>
      </c>
      <c r="C23" s="151" t="s">
        <v>242</v>
      </c>
      <c r="D23" s="45" t="s">
        <v>245</v>
      </c>
      <c r="E23" s="32" t="s">
        <v>100</v>
      </c>
      <c r="F23" s="148">
        <v>2784091.8</v>
      </c>
      <c r="G23" s="130"/>
      <c r="H23" s="130"/>
      <c r="I23" s="156" t="s">
        <v>101</v>
      </c>
      <c r="J23" s="157">
        <v>0</v>
      </c>
      <c r="K23" s="157">
        <v>0</v>
      </c>
      <c r="L23" s="150"/>
      <c r="M23" s="150"/>
      <c r="N23" s="130"/>
      <c r="O23" s="134"/>
    </row>
    <row r="24" spans="1:15" s="29" customFormat="1">
      <c r="A24" s="134">
        <v>1</v>
      </c>
      <c r="B24" s="45" t="s">
        <v>246</v>
      </c>
      <c r="C24" s="151" t="s">
        <v>216</v>
      </c>
      <c r="D24" s="45" t="s">
        <v>247</v>
      </c>
      <c r="E24" s="32" t="s">
        <v>100</v>
      </c>
      <c r="F24" s="148">
        <v>5584427.1000000006</v>
      </c>
      <c r="G24" s="130"/>
      <c r="H24" s="130"/>
      <c r="I24" s="156" t="s">
        <v>101</v>
      </c>
      <c r="J24" s="157">
        <v>0</v>
      </c>
      <c r="K24" s="157">
        <v>0</v>
      </c>
      <c r="L24" s="150"/>
      <c r="M24" s="150"/>
      <c r="N24" s="130">
        <f t="shared" si="0"/>
        <v>0</v>
      </c>
      <c r="O24" s="134"/>
    </row>
    <row r="25" spans="1:15" s="29" customFormat="1">
      <c r="A25" s="134">
        <v>1</v>
      </c>
      <c r="B25" s="45" t="s">
        <v>248</v>
      </c>
      <c r="C25" s="151" t="s">
        <v>216</v>
      </c>
      <c r="D25" s="45" t="s">
        <v>249</v>
      </c>
      <c r="E25" s="32" t="s">
        <v>100</v>
      </c>
      <c r="F25" s="148">
        <v>800625</v>
      </c>
      <c r="G25" s="130"/>
      <c r="H25" s="130"/>
      <c r="I25" s="156" t="s">
        <v>101</v>
      </c>
      <c r="J25" s="157">
        <v>0</v>
      </c>
      <c r="K25" s="157">
        <v>0</v>
      </c>
      <c r="L25" s="150"/>
      <c r="M25" s="150"/>
      <c r="N25" s="130">
        <f t="shared" si="0"/>
        <v>0</v>
      </c>
      <c r="O25" s="134"/>
    </row>
    <row r="26" spans="1:15" s="29" customFormat="1">
      <c r="A26" s="134">
        <v>1</v>
      </c>
      <c r="B26" s="45" t="s">
        <v>250</v>
      </c>
      <c r="C26" s="151" t="s">
        <v>216</v>
      </c>
      <c r="D26" s="45" t="s">
        <v>251</v>
      </c>
      <c r="E26" s="32" t="s">
        <v>100</v>
      </c>
      <c r="F26" s="148">
        <v>138075</v>
      </c>
      <c r="G26" s="130"/>
      <c r="H26" s="130"/>
      <c r="I26" s="156" t="s">
        <v>101</v>
      </c>
      <c r="J26" s="157">
        <v>0</v>
      </c>
      <c r="K26" s="157">
        <v>0</v>
      </c>
      <c r="L26" s="150"/>
      <c r="M26" s="150"/>
      <c r="N26" s="130">
        <f t="shared" si="0"/>
        <v>0</v>
      </c>
      <c r="O26" s="134"/>
    </row>
    <row r="27" spans="1:15" s="29" customFormat="1">
      <c r="A27" s="134">
        <v>1</v>
      </c>
      <c r="B27" s="45" t="s">
        <v>252</v>
      </c>
      <c r="C27" s="151" t="s">
        <v>216</v>
      </c>
      <c r="D27" s="45" t="s">
        <v>253</v>
      </c>
      <c r="E27" s="32" t="s">
        <v>100</v>
      </c>
      <c r="F27" s="148">
        <v>3990000</v>
      </c>
      <c r="G27" s="130"/>
      <c r="H27" s="130"/>
      <c r="I27" s="156" t="s">
        <v>101</v>
      </c>
      <c r="J27" s="157">
        <v>0</v>
      </c>
      <c r="K27" s="157">
        <v>0</v>
      </c>
      <c r="L27" s="150"/>
      <c r="M27" s="150"/>
      <c r="N27" s="130">
        <f t="shared" si="0"/>
        <v>0</v>
      </c>
      <c r="O27" s="134"/>
    </row>
    <row r="28" spans="1:15" s="29" customFormat="1" ht="30">
      <c r="A28" s="134">
        <v>1</v>
      </c>
      <c r="B28" s="45" t="s">
        <v>254</v>
      </c>
      <c r="C28" s="151" t="s">
        <v>219</v>
      </c>
      <c r="D28" s="45" t="s">
        <v>255</v>
      </c>
      <c r="E28" s="32" t="s">
        <v>100</v>
      </c>
      <c r="F28" s="148">
        <v>2257573.5</v>
      </c>
      <c r="G28" s="130"/>
      <c r="H28" s="130"/>
      <c r="I28" s="156" t="s">
        <v>101</v>
      </c>
      <c r="J28" s="157">
        <v>0</v>
      </c>
      <c r="K28" s="157">
        <v>0</v>
      </c>
      <c r="L28" s="150"/>
      <c r="M28" s="150"/>
      <c r="N28" s="130">
        <f t="shared" si="0"/>
        <v>0</v>
      </c>
      <c r="O28" s="134"/>
    </row>
    <row r="29" spans="1:15" s="29" customFormat="1" ht="30">
      <c r="A29" s="134">
        <v>1</v>
      </c>
      <c r="B29" s="45" t="s">
        <v>256</v>
      </c>
      <c r="C29" s="151" t="s">
        <v>219</v>
      </c>
      <c r="D29" s="45" t="s">
        <v>257</v>
      </c>
      <c r="E29" s="32" t="s">
        <v>100</v>
      </c>
      <c r="F29" s="148">
        <v>69921.600000000006</v>
      </c>
      <c r="G29" s="130"/>
      <c r="H29" s="130"/>
      <c r="I29" s="156" t="s">
        <v>101</v>
      </c>
      <c r="J29" s="157">
        <v>0</v>
      </c>
      <c r="K29" s="157">
        <v>0</v>
      </c>
      <c r="L29" s="150"/>
      <c r="M29" s="150"/>
      <c r="N29" s="130">
        <f t="shared" si="0"/>
        <v>0</v>
      </c>
      <c r="O29" s="134"/>
    </row>
    <row r="30" spans="1:15" s="29" customFormat="1">
      <c r="A30" s="134">
        <v>1</v>
      </c>
      <c r="B30" s="45" t="s">
        <v>258</v>
      </c>
      <c r="C30" s="151" t="s">
        <v>259</v>
      </c>
      <c r="D30" s="45" t="s">
        <v>260</v>
      </c>
      <c r="E30" s="32" t="s">
        <v>100</v>
      </c>
      <c r="F30" s="148">
        <v>6263085.1500000004</v>
      </c>
      <c r="G30" s="130"/>
      <c r="H30" s="130"/>
      <c r="I30" s="156" t="s">
        <v>101</v>
      </c>
      <c r="J30" s="157">
        <v>0</v>
      </c>
      <c r="K30" s="157">
        <v>0</v>
      </c>
      <c r="L30" s="150"/>
      <c r="M30" s="150"/>
      <c r="N30" s="130">
        <f t="shared" si="0"/>
        <v>0</v>
      </c>
      <c r="O30" s="134"/>
    </row>
    <row r="31" spans="1:15" s="29" customFormat="1">
      <c r="A31" s="134">
        <v>1</v>
      </c>
      <c r="B31" s="45" t="s">
        <v>261</v>
      </c>
      <c r="C31" s="151" t="s">
        <v>259</v>
      </c>
      <c r="D31" s="45" t="s">
        <v>262</v>
      </c>
      <c r="E31" s="32" t="s">
        <v>100</v>
      </c>
      <c r="F31" s="148">
        <v>778050</v>
      </c>
      <c r="G31" s="130"/>
      <c r="H31" s="130"/>
      <c r="I31" s="156" t="s">
        <v>101</v>
      </c>
      <c r="J31" s="157">
        <v>0</v>
      </c>
      <c r="K31" s="157">
        <v>0</v>
      </c>
      <c r="L31" s="150"/>
      <c r="M31" s="150"/>
      <c r="N31" s="130">
        <f t="shared" si="0"/>
        <v>0</v>
      </c>
      <c r="O31" s="134"/>
    </row>
    <row r="32" spans="1:15" s="29" customFormat="1">
      <c r="A32" s="134">
        <v>1</v>
      </c>
      <c r="B32" s="45" t="s">
        <v>263</v>
      </c>
      <c r="C32" s="151" t="s">
        <v>259</v>
      </c>
      <c r="D32" s="45" t="s">
        <v>264</v>
      </c>
      <c r="E32" s="32" t="s">
        <v>100</v>
      </c>
      <c r="F32" s="148">
        <v>2100000</v>
      </c>
      <c r="G32" s="130"/>
      <c r="H32" s="130"/>
      <c r="I32" s="156" t="s">
        <v>101</v>
      </c>
      <c r="J32" s="157">
        <v>0</v>
      </c>
      <c r="K32" s="157">
        <v>0</v>
      </c>
      <c r="L32" s="150"/>
      <c r="M32" s="150"/>
      <c r="N32" s="130">
        <f t="shared" si="0"/>
        <v>0</v>
      </c>
      <c r="O32" s="134"/>
    </row>
    <row r="33" spans="1:15" s="29" customFormat="1">
      <c r="A33" s="134">
        <v>1</v>
      </c>
      <c r="B33" s="45" t="s">
        <v>265</v>
      </c>
      <c r="C33" s="151" t="s">
        <v>259</v>
      </c>
      <c r="D33" s="45" t="s">
        <v>129</v>
      </c>
      <c r="E33" s="32" t="s">
        <v>100</v>
      </c>
      <c r="F33" s="148">
        <v>2100000</v>
      </c>
      <c r="G33" s="130"/>
      <c r="H33" s="130"/>
      <c r="I33" s="156" t="s">
        <v>101</v>
      </c>
      <c r="J33" s="157">
        <v>0</v>
      </c>
      <c r="K33" s="157">
        <v>0</v>
      </c>
      <c r="L33" s="150"/>
      <c r="M33" s="150"/>
      <c r="N33" s="130"/>
      <c r="O33" s="134"/>
    </row>
    <row r="34" spans="1:15" s="29" customFormat="1" ht="30">
      <c r="A34" s="134">
        <v>1</v>
      </c>
      <c r="B34" s="45" t="s">
        <v>266</v>
      </c>
      <c r="C34" s="151" t="s">
        <v>267</v>
      </c>
      <c r="D34" s="45" t="s">
        <v>268</v>
      </c>
      <c r="E34" s="32" t="s">
        <v>100</v>
      </c>
      <c r="F34" s="148">
        <v>2103981.6</v>
      </c>
      <c r="G34" s="130"/>
      <c r="H34" s="130"/>
      <c r="I34" s="156" t="s">
        <v>101</v>
      </c>
      <c r="J34" s="157">
        <v>0</v>
      </c>
      <c r="K34" s="157">
        <v>0</v>
      </c>
      <c r="L34" s="150"/>
      <c r="M34" s="150"/>
      <c r="N34" s="130">
        <f t="shared" si="0"/>
        <v>0</v>
      </c>
      <c r="O34" s="134"/>
    </row>
    <row r="35" spans="1:15" s="29" customFormat="1" ht="30">
      <c r="A35" s="134">
        <v>1</v>
      </c>
      <c r="B35" s="45" t="s">
        <v>269</v>
      </c>
      <c r="C35" s="45" t="s">
        <v>267</v>
      </c>
      <c r="D35" s="45" t="s">
        <v>270</v>
      </c>
      <c r="E35" s="32" t="s">
        <v>100</v>
      </c>
      <c r="F35" s="148">
        <v>638400</v>
      </c>
      <c r="G35" s="130"/>
      <c r="H35" s="130"/>
      <c r="I35" s="156" t="s">
        <v>101</v>
      </c>
      <c r="J35" s="157">
        <v>0</v>
      </c>
      <c r="K35" s="157">
        <v>0</v>
      </c>
      <c r="L35" s="150"/>
      <c r="M35" s="150"/>
      <c r="N35" s="130">
        <f t="shared" si="0"/>
        <v>0</v>
      </c>
      <c r="O35" s="134"/>
    </row>
    <row r="36" spans="1:15" s="29" customFormat="1" ht="30">
      <c r="A36" s="134">
        <v>1</v>
      </c>
      <c r="B36" s="45" t="s">
        <v>271</v>
      </c>
      <c r="C36" s="45" t="s">
        <v>267</v>
      </c>
      <c r="D36" s="45" t="s">
        <v>225</v>
      </c>
      <c r="E36" s="32" t="s">
        <v>100</v>
      </c>
      <c r="F36" s="158">
        <v>2775360</v>
      </c>
      <c r="G36" s="130"/>
      <c r="H36" s="130"/>
      <c r="I36" s="156" t="s">
        <v>101</v>
      </c>
      <c r="J36" s="157">
        <v>0</v>
      </c>
      <c r="K36" s="157">
        <v>0</v>
      </c>
      <c r="L36" s="159"/>
      <c r="M36" s="159"/>
      <c r="N36" s="130">
        <f t="shared" si="0"/>
        <v>0</v>
      </c>
      <c r="O36" s="45"/>
    </row>
    <row r="37" spans="1:15" s="29" customFormat="1" ht="30">
      <c r="A37" s="134">
        <v>1</v>
      </c>
      <c r="B37" s="45" t="s">
        <v>272</v>
      </c>
      <c r="C37" s="45" t="s">
        <v>267</v>
      </c>
      <c r="D37" s="45" t="s">
        <v>273</v>
      </c>
      <c r="E37" s="32" t="s">
        <v>100</v>
      </c>
      <c r="F37" s="158">
        <v>590110.5</v>
      </c>
      <c r="G37" s="130"/>
      <c r="H37" s="130"/>
      <c r="I37" s="156" t="s">
        <v>101</v>
      </c>
      <c r="J37" s="157">
        <v>0</v>
      </c>
      <c r="K37" s="157">
        <v>0</v>
      </c>
      <c r="L37" s="159"/>
      <c r="M37" s="159"/>
      <c r="N37" s="130">
        <f t="shared" si="0"/>
        <v>0</v>
      </c>
      <c r="O37" s="45"/>
    </row>
    <row r="38" spans="1:15" s="29" customFormat="1" ht="30">
      <c r="A38" s="134">
        <v>1</v>
      </c>
      <c r="B38" s="45" t="s">
        <v>274</v>
      </c>
      <c r="C38" s="45" t="s">
        <v>267</v>
      </c>
      <c r="D38" s="45" t="s">
        <v>275</v>
      </c>
      <c r="E38" s="32" t="s">
        <v>100</v>
      </c>
      <c r="F38" s="148">
        <v>315857.85000000003</v>
      </c>
      <c r="G38" s="130"/>
      <c r="H38" s="130"/>
      <c r="I38" s="156" t="s">
        <v>101</v>
      </c>
      <c r="J38" s="157">
        <v>0</v>
      </c>
      <c r="K38" s="157">
        <v>0</v>
      </c>
      <c r="L38" s="150"/>
      <c r="M38" s="150"/>
      <c r="N38" s="130">
        <f t="shared" si="0"/>
        <v>0</v>
      </c>
      <c r="O38" s="45"/>
    </row>
    <row r="39" spans="1:15" s="29" customFormat="1" ht="30">
      <c r="A39" s="134">
        <v>1</v>
      </c>
      <c r="B39" s="45" t="s">
        <v>276</v>
      </c>
      <c r="C39" s="45" t="s">
        <v>267</v>
      </c>
      <c r="D39" s="45" t="s">
        <v>277</v>
      </c>
      <c r="E39" s="32" t="s">
        <v>100</v>
      </c>
      <c r="F39" s="158">
        <v>3140858.7</v>
      </c>
      <c r="G39" s="130"/>
      <c r="H39" s="130"/>
      <c r="I39" s="156" t="s">
        <v>101</v>
      </c>
      <c r="J39" s="157">
        <v>0</v>
      </c>
      <c r="K39" s="157">
        <v>0</v>
      </c>
      <c r="L39" s="159"/>
      <c r="M39" s="159"/>
      <c r="N39" s="130">
        <f t="shared" si="0"/>
        <v>0</v>
      </c>
      <c r="O39" s="45"/>
    </row>
    <row r="40" spans="1:15" s="29" customFormat="1">
      <c r="A40" s="134">
        <v>1</v>
      </c>
      <c r="B40" s="45" t="s">
        <v>278</v>
      </c>
      <c r="C40" s="151" t="s">
        <v>279</v>
      </c>
      <c r="D40" s="45" t="s">
        <v>280</v>
      </c>
      <c r="E40" s="32" t="s">
        <v>100</v>
      </c>
      <c r="F40" s="160">
        <v>712358.32500000007</v>
      </c>
      <c r="G40" s="130"/>
      <c r="H40" s="130"/>
      <c r="I40" s="156" t="s">
        <v>101</v>
      </c>
      <c r="J40" s="157">
        <v>0</v>
      </c>
      <c r="K40" s="157">
        <v>0</v>
      </c>
      <c r="L40" s="161"/>
      <c r="M40" s="161"/>
      <c r="N40" s="135">
        <f t="shared" si="0"/>
        <v>0</v>
      </c>
      <c r="O40" s="146"/>
    </row>
    <row r="41" spans="1:15" s="29" customFormat="1">
      <c r="A41" s="134">
        <v>1</v>
      </c>
      <c r="B41" s="45" t="s">
        <v>281</v>
      </c>
      <c r="C41" s="151" t="s">
        <v>279</v>
      </c>
      <c r="D41" s="45" t="s">
        <v>282</v>
      </c>
      <c r="E41" s="32" t="s">
        <v>100</v>
      </c>
      <c r="F41" s="160">
        <v>207013.527</v>
      </c>
      <c r="G41" s="130"/>
      <c r="H41" s="130"/>
      <c r="I41" s="156" t="s">
        <v>101</v>
      </c>
      <c r="J41" s="157">
        <v>0</v>
      </c>
      <c r="K41" s="157">
        <v>0</v>
      </c>
      <c r="L41" s="161"/>
      <c r="M41" s="161"/>
      <c r="N41" s="135">
        <f t="shared" si="0"/>
        <v>0</v>
      </c>
      <c r="O41" s="146"/>
    </row>
    <row r="42" spans="1:15" s="29" customFormat="1">
      <c r="A42" s="134">
        <v>1</v>
      </c>
      <c r="B42" s="45" t="s">
        <v>283</v>
      </c>
      <c r="C42" s="151" t="s">
        <v>279</v>
      </c>
      <c r="D42" s="45" t="s">
        <v>277</v>
      </c>
      <c r="E42" s="32" t="s">
        <v>100</v>
      </c>
      <c r="F42" s="160">
        <v>374656.8</v>
      </c>
      <c r="G42" s="130"/>
      <c r="H42" s="130"/>
      <c r="I42" s="156" t="s">
        <v>101</v>
      </c>
      <c r="J42" s="157">
        <v>0</v>
      </c>
      <c r="K42" s="157">
        <v>0</v>
      </c>
      <c r="L42" s="161"/>
      <c r="M42" s="161"/>
      <c r="N42" s="135">
        <f t="shared" si="0"/>
        <v>0</v>
      </c>
      <c r="O42" s="146"/>
    </row>
    <row r="43" spans="1:15" s="29" customFormat="1" ht="45">
      <c r="A43" s="134">
        <v>1</v>
      </c>
      <c r="B43" s="45" t="s">
        <v>284</v>
      </c>
      <c r="C43" s="151" t="s">
        <v>285</v>
      </c>
      <c r="D43" s="45" t="s">
        <v>277</v>
      </c>
      <c r="E43" s="32" t="s">
        <v>100</v>
      </c>
      <c r="F43" s="160">
        <v>3494400</v>
      </c>
      <c r="G43" s="130"/>
      <c r="H43" s="130"/>
      <c r="I43" s="156" t="s">
        <v>101</v>
      </c>
      <c r="J43" s="157">
        <v>0</v>
      </c>
      <c r="K43" s="157">
        <v>0</v>
      </c>
      <c r="L43" s="161"/>
      <c r="M43" s="161"/>
      <c r="N43" s="135">
        <f t="shared" si="0"/>
        <v>0</v>
      </c>
      <c r="O43" s="146"/>
    </row>
    <row r="44" spans="1:15" s="29" customFormat="1" ht="45">
      <c r="A44" s="134">
        <v>1</v>
      </c>
      <c r="B44" s="45" t="s">
        <v>286</v>
      </c>
      <c r="C44" s="151" t="s">
        <v>285</v>
      </c>
      <c r="D44" s="45" t="s">
        <v>287</v>
      </c>
      <c r="E44" s="32" t="s">
        <v>100</v>
      </c>
      <c r="F44" s="160">
        <v>268800</v>
      </c>
      <c r="G44" s="130"/>
      <c r="H44" s="130"/>
      <c r="I44" s="156" t="s">
        <v>101</v>
      </c>
      <c r="J44" s="157">
        <v>0</v>
      </c>
      <c r="K44" s="157">
        <v>0</v>
      </c>
      <c r="L44" s="161"/>
      <c r="M44" s="161"/>
      <c r="N44" s="135">
        <f t="shared" si="0"/>
        <v>0</v>
      </c>
      <c r="O44" s="146"/>
    </row>
    <row r="45" spans="1:15" s="29" customFormat="1" ht="45">
      <c r="A45" s="134">
        <v>1</v>
      </c>
      <c r="B45" s="45" t="s">
        <v>288</v>
      </c>
      <c r="C45" s="151" t="s">
        <v>285</v>
      </c>
      <c r="D45" s="45" t="s">
        <v>225</v>
      </c>
      <c r="E45" s="32" t="s">
        <v>100</v>
      </c>
      <c r="F45" s="160">
        <v>2100000</v>
      </c>
      <c r="G45" s="130"/>
      <c r="H45" s="130"/>
      <c r="I45" s="156" t="s">
        <v>101</v>
      </c>
      <c r="J45" s="157">
        <v>0</v>
      </c>
      <c r="K45" s="157">
        <v>0</v>
      </c>
      <c r="L45" s="161"/>
      <c r="M45" s="161"/>
      <c r="N45" s="135">
        <f t="shared" si="0"/>
        <v>0</v>
      </c>
      <c r="O45" s="146"/>
    </row>
    <row r="46" spans="1:15" s="29" customFormat="1">
      <c r="A46" s="152">
        <v>2</v>
      </c>
      <c r="B46" s="45" t="s">
        <v>289</v>
      </c>
      <c r="C46" s="151" t="s">
        <v>227</v>
      </c>
      <c r="D46" s="45" t="s">
        <v>290</v>
      </c>
      <c r="E46" s="32" t="s">
        <v>100</v>
      </c>
      <c r="F46" s="158">
        <v>5515938.75</v>
      </c>
      <c r="G46" s="130"/>
      <c r="H46" s="130"/>
      <c r="I46" s="156" t="s">
        <v>101</v>
      </c>
      <c r="J46" s="157">
        <v>0</v>
      </c>
      <c r="K46" s="157">
        <v>0</v>
      </c>
      <c r="L46" s="159"/>
      <c r="M46" s="159"/>
      <c r="N46" s="130"/>
      <c r="O46" s="45"/>
    </row>
    <row r="47" spans="1:15" s="29" customFormat="1">
      <c r="A47" s="152">
        <v>2</v>
      </c>
      <c r="B47" s="45" t="s">
        <v>291</v>
      </c>
      <c r="C47" s="151" t="s">
        <v>227</v>
      </c>
      <c r="D47" s="162" t="s">
        <v>292</v>
      </c>
      <c r="E47" s="32" t="s">
        <v>100</v>
      </c>
      <c r="F47" s="148">
        <v>3081366.75</v>
      </c>
      <c r="G47" s="130"/>
      <c r="H47" s="130"/>
      <c r="I47" s="156" t="s">
        <v>101</v>
      </c>
      <c r="J47" s="157">
        <v>0</v>
      </c>
      <c r="K47" s="157">
        <v>0</v>
      </c>
      <c r="L47" s="150"/>
      <c r="M47" s="150"/>
      <c r="N47" s="130"/>
      <c r="O47" s="134"/>
    </row>
    <row r="48" spans="1:15" s="29" customFormat="1" ht="30">
      <c r="A48" s="152">
        <v>2</v>
      </c>
      <c r="B48" s="45" t="s">
        <v>293</v>
      </c>
      <c r="C48" s="151" t="s">
        <v>267</v>
      </c>
      <c r="D48" s="45" t="s">
        <v>294</v>
      </c>
      <c r="E48" s="32" t="s">
        <v>100</v>
      </c>
      <c r="F48" s="130">
        <v>389760</v>
      </c>
      <c r="G48" s="130"/>
      <c r="H48" s="130"/>
      <c r="I48" s="156" t="s">
        <v>101</v>
      </c>
      <c r="J48" s="157">
        <v>0</v>
      </c>
      <c r="K48" s="157">
        <v>0</v>
      </c>
      <c r="L48" s="150"/>
      <c r="M48" s="150"/>
      <c r="N48" s="130">
        <f>G48-L48-M48</f>
        <v>0</v>
      </c>
      <c r="O48" s="45"/>
    </row>
    <row r="49" spans="1:15" s="29" customFormat="1" ht="45">
      <c r="A49" s="152">
        <v>2</v>
      </c>
      <c r="B49" s="45" t="s">
        <v>295</v>
      </c>
      <c r="C49" s="151" t="s">
        <v>285</v>
      </c>
      <c r="D49" s="45" t="s">
        <v>296</v>
      </c>
      <c r="E49" s="32" t="s">
        <v>100</v>
      </c>
      <c r="F49" s="130">
        <v>1612800</v>
      </c>
      <c r="G49" s="130"/>
      <c r="H49" s="130"/>
      <c r="I49" s="156" t="s">
        <v>101</v>
      </c>
      <c r="J49" s="157">
        <v>0</v>
      </c>
      <c r="K49" s="157">
        <v>0</v>
      </c>
      <c r="L49" s="150"/>
      <c r="M49" s="150"/>
      <c r="N49" s="130"/>
      <c r="O49" s="45"/>
    </row>
    <row r="50" spans="1:15" s="29" customFormat="1" ht="15.75" thickBot="1">
      <c r="A50" s="152">
        <v>3</v>
      </c>
      <c r="B50" s="45" t="s">
        <v>297</v>
      </c>
      <c r="C50" s="151" t="s">
        <v>259</v>
      </c>
      <c r="D50" s="45" t="s">
        <v>298</v>
      </c>
      <c r="E50" s="32" t="s">
        <v>100</v>
      </c>
      <c r="F50" s="130">
        <v>2003705.55</v>
      </c>
      <c r="G50" s="130"/>
      <c r="H50" s="130"/>
      <c r="I50" s="156" t="s">
        <v>101</v>
      </c>
      <c r="J50" s="157">
        <v>0</v>
      </c>
      <c r="K50" s="157">
        <v>0</v>
      </c>
      <c r="L50" s="150"/>
      <c r="M50" s="150"/>
      <c r="N50" s="130"/>
      <c r="O50" s="45"/>
    </row>
    <row r="51" spans="1:15" ht="16.5" thickBot="1">
      <c r="A51" s="153"/>
      <c r="B51" s="138"/>
      <c r="C51" s="137"/>
      <c r="D51" s="137"/>
      <c r="E51" s="154" t="s">
        <v>54</v>
      </c>
      <c r="F51" s="141">
        <f>SUM(F8:F50)</f>
        <v>79923257.06400001</v>
      </c>
      <c r="G51" s="142">
        <f>SUM(G8:G50)</f>
        <v>0</v>
      </c>
      <c r="H51" s="155"/>
      <c r="I51" s="145"/>
      <c r="J51" s="143"/>
      <c r="K51" s="143"/>
      <c r="L51" s="141">
        <f>SUM(L8:L50)</f>
        <v>0</v>
      </c>
      <c r="M51" s="142">
        <f>SUM(M8:M50)</f>
        <v>0</v>
      </c>
      <c r="N51" s="144">
        <f t="shared" ref="N51" si="1">G51-L51-M51</f>
        <v>0</v>
      </c>
      <c r="O51" s="145"/>
    </row>
  </sheetData>
  <mergeCells count="18">
    <mergeCell ref="K5:K7"/>
    <mergeCell ref="L5:L7"/>
    <mergeCell ref="M5:M7"/>
    <mergeCell ref="N5:N7"/>
    <mergeCell ref="O5:O7"/>
    <mergeCell ref="J5:J7"/>
    <mergeCell ref="C1:D1"/>
    <mergeCell ref="C2:D2"/>
    <mergeCell ref="C3:D3"/>
    <mergeCell ref="A5:A7"/>
    <mergeCell ref="B5:B7"/>
    <mergeCell ref="C5:C7"/>
    <mergeCell ref="D5:D7"/>
    <mergeCell ref="E5:E7"/>
    <mergeCell ref="F5:F7"/>
    <mergeCell ref="G5:G7"/>
    <mergeCell ref="H5:H7"/>
    <mergeCell ref="I5:I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A46" workbookViewId="0">
      <selection activeCell="A56" sqref="A56:XFD56"/>
    </sheetView>
  </sheetViews>
  <sheetFormatPr defaultRowHeight="15"/>
  <cols>
    <col min="2" max="2" width="15.42578125" customWidth="1"/>
    <col min="3" max="3" width="14.85546875" customWidth="1"/>
    <col min="4" max="4" width="24.85546875" customWidth="1"/>
    <col min="5" max="5" width="13.7109375" customWidth="1"/>
    <col min="6" max="6" width="18.140625" customWidth="1"/>
    <col min="7" max="7" width="20.85546875" customWidth="1"/>
    <col min="8" max="8" width="20.140625" customWidth="1"/>
    <col min="9" max="9" width="15.7109375" customWidth="1"/>
    <col min="10" max="10" width="14.42578125" customWidth="1"/>
    <col min="11" max="11" width="15.42578125" customWidth="1"/>
    <col min="12" max="12" width="15.85546875" customWidth="1"/>
    <col min="13" max="13" width="13.7109375" customWidth="1"/>
  </cols>
  <sheetData>
    <row r="1" spans="1:14" ht="15.75">
      <c r="B1" s="20" t="s">
        <v>17</v>
      </c>
      <c r="C1" s="537" t="s">
        <v>95</v>
      </c>
      <c r="D1" s="538"/>
      <c r="E1" s="21"/>
      <c r="I1" s="22"/>
    </row>
    <row r="2" spans="1:14" ht="15.75">
      <c r="B2" s="20" t="s">
        <v>19</v>
      </c>
      <c r="C2" s="539">
        <v>42996</v>
      </c>
      <c r="D2" s="540"/>
      <c r="E2" s="23"/>
      <c r="G2" s="22"/>
      <c r="H2" s="24"/>
      <c r="I2" s="22"/>
      <c r="J2" s="22"/>
      <c r="M2" s="127"/>
    </row>
    <row r="3" spans="1:14" ht="31.5">
      <c r="B3" s="20" t="s">
        <v>20</v>
      </c>
      <c r="C3" s="541" t="s">
        <v>96</v>
      </c>
      <c r="D3" s="542"/>
      <c r="E3" s="26"/>
    </row>
    <row r="4" spans="1:14" ht="15.75">
      <c r="B4" s="27"/>
      <c r="C4" s="28"/>
      <c r="D4" s="29"/>
      <c r="E4" s="29"/>
    </row>
    <row r="5" spans="1:14">
      <c r="A5" s="486" t="s">
        <v>57</v>
      </c>
      <c r="B5" s="489" t="s">
        <v>22</v>
      </c>
      <c r="C5" s="489" t="s">
        <v>23</v>
      </c>
      <c r="D5" s="489" t="s">
        <v>24</v>
      </c>
      <c r="E5" s="489" t="s">
        <v>25</v>
      </c>
      <c r="F5" s="489" t="s">
        <v>15</v>
      </c>
      <c r="G5" s="489" t="s">
        <v>58</v>
      </c>
      <c r="H5" s="486" t="s">
        <v>26</v>
      </c>
      <c r="I5" s="491" t="s">
        <v>27</v>
      </c>
      <c r="J5" s="489" t="s">
        <v>28</v>
      </c>
      <c r="K5" s="486" t="s">
        <v>13</v>
      </c>
      <c r="L5" s="486" t="s">
        <v>11</v>
      </c>
      <c r="M5" s="486" t="s">
        <v>9</v>
      </c>
      <c r="N5" s="486" t="s">
        <v>31</v>
      </c>
    </row>
    <row r="6" spans="1:14">
      <c r="A6" s="487"/>
      <c r="B6" s="489"/>
      <c r="C6" s="489"/>
      <c r="D6" s="489"/>
      <c r="E6" s="489"/>
      <c r="F6" s="489"/>
      <c r="G6" s="489"/>
      <c r="H6" s="487"/>
      <c r="I6" s="492"/>
      <c r="J6" s="489"/>
      <c r="K6" s="487"/>
      <c r="L6" s="487"/>
      <c r="M6" s="487"/>
      <c r="N6" s="487"/>
    </row>
    <row r="7" spans="1:14">
      <c r="A7" s="488"/>
      <c r="B7" s="489"/>
      <c r="C7" s="489"/>
      <c r="D7" s="489"/>
      <c r="E7" s="489"/>
      <c r="F7" s="489"/>
      <c r="G7" s="489"/>
      <c r="H7" s="488"/>
      <c r="I7" s="493"/>
      <c r="J7" s="489"/>
      <c r="K7" s="488"/>
      <c r="L7" s="488"/>
      <c r="M7" s="488"/>
      <c r="N7" s="488"/>
    </row>
    <row r="8" spans="1:14">
      <c r="A8" s="46">
        <v>1</v>
      </c>
      <c r="B8" s="45" t="s">
        <v>97</v>
      </c>
      <c r="C8" s="45" t="s">
        <v>98</v>
      </c>
      <c r="D8" s="32" t="s">
        <v>99</v>
      </c>
      <c r="E8" s="32" t="s">
        <v>100</v>
      </c>
      <c r="F8" s="129">
        <v>138611.54999999999</v>
      </c>
      <c r="G8" s="130" t="s">
        <v>101</v>
      </c>
      <c r="H8" s="45" t="s">
        <v>101</v>
      </c>
      <c r="I8" s="131">
        <v>0</v>
      </c>
      <c r="J8" s="131">
        <v>0</v>
      </c>
      <c r="K8" s="132">
        <v>0</v>
      </c>
      <c r="L8" s="132">
        <v>0</v>
      </c>
      <c r="M8" s="130" t="e">
        <f>G8-K8-L8</f>
        <v>#VALUE!</v>
      </c>
      <c r="N8" s="133"/>
    </row>
    <row r="9" spans="1:14" ht="30">
      <c r="A9" s="46">
        <v>1</v>
      </c>
      <c r="B9" s="45" t="s">
        <v>102</v>
      </c>
      <c r="C9" s="45" t="s">
        <v>98</v>
      </c>
      <c r="D9" s="32" t="s">
        <v>103</v>
      </c>
      <c r="E9" s="32" t="s">
        <v>100</v>
      </c>
      <c r="F9" s="130">
        <f>465645*1.05</f>
        <v>488927.25</v>
      </c>
      <c r="G9" s="130" t="s">
        <v>101</v>
      </c>
      <c r="H9" s="45" t="s">
        <v>101</v>
      </c>
      <c r="I9" s="131">
        <v>0</v>
      </c>
      <c r="J9" s="131">
        <v>0</v>
      </c>
      <c r="K9" s="132">
        <v>0</v>
      </c>
      <c r="L9" s="132">
        <v>0</v>
      </c>
      <c r="M9" s="130" t="e">
        <f t="shared" ref="M9:M16" si="0">G9-K9-L9</f>
        <v>#VALUE!</v>
      </c>
      <c r="N9" s="134"/>
    </row>
    <row r="10" spans="1:14" s="29" customFormat="1" ht="30">
      <c r="A10" s="134">
        <v>1</v>
      </c>
      <c r="B10" s="45" t="s">
        <v>104</v>
      </c>
      <c r="C10" s="45" t="s">
        <v>98</v>
      </c>
      <c r="D10" s="32" t="s">
        <v>105</v>
      </c>
      <c r="E10" s="32" t="s">
        <v>100</v>
      </c>
      <c r="F10" s="130">
        <f>199714*1.05</f>
        <v>209699.7</v>
      </c>
      <c r="G10" s="130" t="s">
        <v>101</v>
      </c>
      <c r="H10" s="45" t="s">
        <v>101</v>
      </c>
      <c r="I10" s="131">
        <v>0</v>
      </c>
      <c r="J10" s="131">
        <v>0</v>
      </c>
      <c r="K10" s="132">
        <v>0</v>
      </c>
      <c r="L10" s="132">
        <v>0</v>
      </c>
      <c r="M10" s="130" t="e">
        <f t="shared" si="0"/>
        <v>#VALUE!</v>
      </c>
      <c r="N10" s="45"/>
    </row>
    <row r="11" spans="1:14" ht="30">
      <c r="A11" s="46">
        <v>1</v>
      </c>
      <c r="B11" s="45" t="s">
        <v>106</v>
      </c>
      <c r="C11" s="45" t="s">
        <v>98</v>
      </c>
      <c r="D11" s="32" t="s">
        <v>107</v>
      </c>
      <c r="E11" s="32" t="s">
        <v>100</v>
      </c>
      <c r="F11" s="130">
        <f>1055420*1.05</f>
        <v>1108191</v>
      </c>
      <c r="G11" s="130" t="s">
        <v>101</v>
      </c>
      <c r="H11" s="45" t="s">
        <v>101</v>
      </c>
      <c r="I11" s="131">
        <v>0</v>
      </c>
      <c r="J11" s="131">
        <v>0</v>
      </c>
      <c r="K11" s="132">
        <v>0</v>
      </c>
      <c r="L11" s="132">
        <v>0</v>
      </c>
      <c r="M11" s="130" t="e">
        <f t="shared" si="0"/>
        <v>#VALUE!</v>
      </c>
      <c r="N11" s="134"/>
    </row>
    <row r="12" spans="1:14" s="29" customFormat="1" ht="30">
      <c r="A12" s="134">
        <v>1</v>
      </c>
      <c r="B12" s="45" t="s">
        <v>108</v>
      </c>
      <c r="C12" s="45" t="s">
        <v>109</v>
      </c>
      <c r="D12" s="32" t="s">
        <v>110</v>
      </c>
      <c r="E12" s="32" t="s">
        <v>100</v>
      </c>
      <c r="F12" s="130">
        <f>607397.8*1.05</f>
        <v>637767.69000000006</v>
      </c>
      <c r="G12" s="130" t="s">
        <v>101</v>
      </c>
      <c r="H12" s="45" t="s">
        <v>101</v>
      </c>
      <c r="I12" s="131">
        <v>0</v>
      </c>
      <c r="J12" s="131">
        <v>0</v>
      </c>
      <c r="K12" s="132">
        <v>0</v>
      </c>
      <c r="L12" s="132">
        <v>0</v>
      </c>
      <c r="M12" s="130" t="e">
        <f t="shared" si="0"/>
        <v>#VALUE!</v>
      </c>
      <c r="N12" s="134"/>
    </row>
    <row r="13" spans="1:14" ht="30">
      <c r="A13" s="46">
        <v>1</v>
      </c>
      <c r="B13" s="45" t="s">
        <v>111</v>
      </c>
      <c r="C13" s="45" t="s">
        <v>109</v>
      </c>
      <c r="D13" s="32" t="s">
        <v>112</v>
      </c>
      <c r="E13" s="32" t="s">
        <v>100</v>
      </c>
      <c r="F13" s="130">
        <f>316849.84*1.05</f>
        <v>332692.33200000005</v>
      </c>
      <c r="G13" s="130" t="s">
        <v>101</v>
      </c>
      <c r="H13" s="45" t="s">
        <v>101</v>
      </c>
      <c r="I13" s="131">
        <v>0</v>
      </c>
      <c r="J13" s="131">
        <v>0</v>
      </c>
      <c r="K13" s="132">
        <v>0</v>
      </c>
      <c r="L13" s="132">
        <v>0</v>
      </c>
      <c r="M13" s="130" t="e">
        <f t="shared" si="0"/>
        <v>#VALUE!</v>
      </c>
      <c r="N13" s="134"/>
    </row>
    <row r="14" spans="1:14" s="29" customFormat="1" ht="45">
      <c r="A14" s="134">
        <v>1</v>
      </c>
      <c r="B14" s="45" t="s">
        <v>113</v>
      </c>
      <c r="C14" s="45" t="s">
        <v>109</v>
      </c>
      <c r="D14" s="32" t="s">
        <v>114</v>
      </c>
      <c r="E14" s="32" t="s">
        <v>100</v>
      </c>
      <c r="F14" s="130">
        <f>418601.84*1.05</f>
        <v>439531.93200000003</v>
      </c>
      <c r="G14" s="130" t="s">
        <v>101</v>
      </c>
      <c r="H14" s="45" t="s">
        <v>101</v>
      </c>
      <c r="I14" s="131">
        <v>0</v>
      </c>
      <c r="J14" s="131">
        <v>0</v>
      </c>
      <c r="K14" s="132">
        <v>0</v>
      </c>
      <c r="L14" s="132">
        <v>0</v>
      </c>
      <c r="M14" s="130" t="e">
        <f t="shared" si="0"/>
        <v>#VALUE!</v>
      </c>
      <c r="N14" s="134"/>
    </row>
    <row r="15" spans="1:14" ht="135">
      <c r="A15" s="46">
        <v>1</v>
      </c>
      <c r="B15" s="45" t="s">
        <v>115</v>
      </c>
      <c r="C15" s="45" t="s">
        <v>116</v>
      </c>
      <c r="D15" s="32" t="s">
        <v>117</v>
      </c>
      <c r="E15" s="32" t="s">
        <v>100</v>
      </c>
      <c r="F15" s="130">
        <f>8228121.62*1.05</f>
        <v>8639527.7010000013</v>
      </c>
      <c r="G15" s="130" t="s">
        <v>101</v>
      </c>
      <c r="H15" s="45" t="s">
        <v>101</v>
      </c>
      <c r="I15" s="131">
        <v>0</v>
      </c>
      <c r="J15" s="131">
        <v>0</v>
      </c>
      <c r="K15" s="132">
        <v>0</v>
      </c>
      <c r="L15" s="132">
        <v>0</v>
      </c>
      <c r="M15" s="130" t="e">
        <f t="shared" si="0"/>
        <v>#VALUE!</v>
      </c>
      <c r="N15" s="133"/>
    </row>
    <row r="16" spans="1:14" s="29" customFormat="1" ht="60">
      <c r="A16" s="134">
        <v>1</v>
      </c>
      <c r="B16" s="45" t="s">
        <v>118</v>
      </c>
      <c r="C16" s="45" t="s">
        <v>116</v>
      </c>
      <c r="D16" s="32" t="s">
        <v>119</v>
      </c>
      <c r="E16" s="32" t="s">
        <v>100</v>
      </c>
      <c r="F16" s="130">
        <f>390902.73*1.05</f>
        <v>410447.8665</v>
      </c>
      <c r="G16" s="130" t="s">
        <v>101</v>
      </c>
      <c r="H16" s="45" t="s">
        <v>101</v>
      </c>
      <c r="I16" s="131">
        <v>0</v>
      </c>
      <c r="J16" s="131">
        <v>0</v>
      </c>
      <c r="K16" s="132">
        <v>0</v>
      </c>
      <c r="L16" s="132">
        <v>0</v>
      </c>
      <c r="M16" s="130" t="e">
        <f t="shared" si="0"/>
        <v>#VALUE!</v>
      </c>
      <c r="N16" s="45"/>
    </row>
    <row r="17" spans="1:14" ht="30">
      <c r="A17" s="46">
        <v>1</v>
      </c>
      <c r="B17" s="45" t="s">
        <v>120</v>
      </c>
      <c r="C17" s="45" t="s">
        <v>121</v>
      </c>
      <c r="D17" s="32" t="s">
        <v>122</v>
      </c>
      <c r="E17" s="32" t="s">
        <v>100</v>
      </c>
      <c r="F17" s="130">
        <f>1341108*1.05</f>
        <v>1408163.4000000001</v>
      </c>
      <c r="G17" s="130" t="s">
        <v>101</v>
      </c>
      <c r="H17" s="45" t="s">
        <v>101</v>
      </c>
      <c r="I17" s="131">
        <v>0</v>
      </c>
      <c r="J17" s="131">
        <v>0</v>
      </c>
      <c r="K17" s="132">
        <v>0</v>
      </c>
      <c r="L17" s="132">
        <v>0</v>
      </c>
      <c r="M17" s="130" t="e">
        <f>G17-K17-L17</f>
        <v>#VALUE!</v>
      </c>
      <c r="N17" s="134"/>
    </row>
    <row r="18" spans="1:14" s="29" customFormat="1">
      <c r="A18" s="134">
        <v>1</v>
      </c>
      <c r="B18" s="45" t="s">
        <v>123</v>
      </c>
      <c r="C18" s="45" t="s">
        <v>124</v>
      </c>
      <c r="D18" s="32" t="s">
        <v>125</v>
      </c>
      <c r="E18" s="32" t="s">
        <v>100</v>
      </c>
      <c r="F18" s="130">
        <f>3238886.4*1.05</f>
        <v>3400830.72</v>
      </c>
      <c r="G18" s="130" t="s">
        <v>101</v>
      </c>
      <c r="H18" s="45" t="s">
        <v>101</v>
      </c>
      <c r="I18" s="131">
        <v>0</v>
      </c>
      <c r="J18" s="131">
        <v>0</v>
      </c>
      <c r="K18" s="132">
        <v>0</v>
      </c>
      <c r="L18" s="132">
        <v>0</v>
      </c>
      <c r="M18" s="130" t="e">
        <f t="shared" ref="M18:M56" si="1">G18-K18-L18</f>
        <v>#VALUE!</v>
      </c>
      <c r="N18" s="45"/>
    </row>
    <row r="19" spans="1:14" ht="30">
      <c r="A19" s="46">
        <v>1</v>
      </c>
      <c r="B19" s="45" t="s">
        <v>126</v>
      </c>
      <c r="C19" s="45" t="s">
        <v>124</v>
      </c>
      <c r="D19" s="32" t="s">
        <v>127</v>
      </c>
      <c r="E19" s="32" t="s">
        <v>100</v>
      </c>
      <c r="F19" s="130">
        <f>2380800*1.05</f>
        <v>2499840</v>
      </c>
      <c r="G19" s="130" t="s">
        <v>101</v>
      </c>
      <c r="H19" s="45" t="s">
        <v>101</v>
      </c>
      <c r="I19" s="131">
        <v>0</v>
      </c>
      <c r="J19" s="131">
        <v>0</v>
      </c>
      <c r="K19" s="132">
        <v>0</v>
      </c>
      <c r="L19" s="132">
        <v>0</v>
      </c>
      <c r="M19" s="130" t="e">
        <f t="shared" si="1"/>
        <v>#VALUE!</v>
      </c>
      <c r="N19" s="134"/>
    </row>
    <row r="20" spans="1:14" s="29" customFormat="1">
      <c r="A20" s="134">
        <v>1</v>
      </c>
      <c r="B20" s="45" t="s">
        <v>128</v>
      </c>
      <c r="C20" s="45" t="s">
        <v>124</v>
      </c>
      <c r="D20" s="32" t="s">
        <v>129</v>
      </c>
      <c r="E20" s="32" t="s">
        <v>100</v>
      </c>
      <c r="F20" s="130">
        <f>1939200*1.05</f>
        <v>2036160</v>
      </c>
      <c r="G20" s="130" t="s">
        <v>101</v>
      </c>
      <c r="H20" s="45" t="s">
        <v>101</v>
      </c>
      <c r="I20" s="131">
        <v>0</v>
      </c>
      <c r="J20" s="131">
        <v>0</v>
      </c>
      <c r="K20" s="132">
        <v>0</v>
      </c>
      <c r="L20" s="132">
        <v>0</v>
      </c>
      <c r="M20" s="130" t="e">
        <f t="shared" si="1"/>
        <v>#VALUE!</v>
      </c>
      <c r="N20" s="45"/>
    </row>
    <row r="21" spans="1:14" ht="60">
      <c r="A21" s="46">
        <v>1</v>
      </c>
      <c r="B21" s="45" t="s">
        <v>130</v>
      </c>
      <c r="C21" s="45" t="s">
        <v>131</v>
      </c>
      <c r="D21" s="32" t="s">
        <v>132</v>
      </c>
      <c r="E21" s="32" t="s">
        <v>100</v>
      </c>
      <c r="F21" s="130">
        <f>323711.48*1.05</f>
        <v>339897.054</v>
      </c>
      <c r="G21" s="130" t="s">
        <v>101</v>
      </c>
      <c r="H21" s="45" t="s">
        <v>101</v>
      </c>
      <c r="I21" s="131">
        <v>0</v>
      </c>
      <c r="J21" s="131">
        <v>0</v>
      </c>
      <c r="K21" s="132">
        <v>0</v>
      </c>
      <c r="L21" s="132">
        <v>0</v>
      </c>
      <c r="M21" s="130" t="e">
        <f t="shared" si="1"/>
        <v>#VALUE!</v>
      </c>
      <c r="N21" s="134"/>
    </row>
    <row r="22" spans="1:14" s="29" customFormat="1" ht="30">
      <c r="A22" s="134">
        <v>1</v>
      </c>
      <c r="B22" s="45" t="s">
        <v>133</v>
      </c>
      <c r="C22" s="45" t="s">
        <v>131</v>
      </c>
      <c r="D22" s="32" t="s">
        <v>134</v>
      </c>
      <c r="E22" s="32" t="s">
        <v>100</v>
      </c>
      <c r="F22" s="130">
        <f>226882.58*1.05</f>
        <v>238226.709</v>
      </c>
      <c r="G22" s="130" t="s">
        <v>101</v>
      </c>
      <c r="H22" s="45" t="s">
        <v>101</v>
      </c>
      <c r="I22" s="131">
        <v>0</v>
      </c>
      <c r="J22" s="131">
        <v>0</v>
      </c>
      <c r="K22" s="132">
        <v>0</v>
      </c>
      <c r="L22" s="132">
        <v>0</v>
      </c>
      <c r="M22" s="130" t="e">
        <f t="shared" si="1"/>
        <v>#VALUE!</v>
      </c>
      <c r="N22" s="134"/>
    </row>
    <row r="23" spans="1:14" ht="30">
      <c r="A23" s="46">
        <v>1</v>
      </c>
      <c r="B23" s="45" t="s">
        <v>135</v>
      </c>
      <c r="C23" s="45" t="s">
        <v>131</v>
      </c>
      <c r="D23" s="32" t="s">
        <v>136</v>
      </c>
      <c r="E23" s="32" t="s">
        <v>100</v>
      </c>
      <c r="F23" s="130">
        <f>1618874.4*1.05</f>
        <v>1699818.1199999999</v>
      </c>
      <c r="G23" s="130" t="s">
        <v>101</v>
      </c>
      <c r="H23" s="45" t="s">
        <v>101</v>
      </c>
      <c r="I23" s="131">
        <v>0</v>
      </c>
      <c r="J23" s="131">
        <v>0</v>
      </c>
      <c r="K23" s="132">
        <v>0</v>
      </c>
      <c r="L23" s="132">
        <v>0</v>
      </c>
      <c r="M23" s="130" t="e">
        <f t="shared" si="1"/>
        <v>#VALUE!</v>
      </c>
      <c r="N23" s="134"/>
    </row>
    <row r="24" spans="1:14" s="29" customFormat="1" ht="75">
      <c r="A24" s="134">
        <v>1</v>
      </c>
      <c r="B24" s="45" t="s">
        <v>137</v>
      </c>
      <c r="C24" s="45" t="s">
        <v>131</v>
      </c>
      <c r="D24" s="32" t="s">
        <v>138</v>
      </c>
      <c r="E24" s="32" t="s">
        <v>100</v>
      </c>
      <c r="F24" s="130">
        <f>299699.85*1.05</f>
        <v>314684.84249999997</v>
      </c>
      <c r="G24" s="130" t="s">
        <v>101</v>
      </c>
      <c r="H24" s="45" t="s">
        <v>101</v>
      </c>
      <c r="I24" s="131">
        <v>0</v>
      </c>
      <c r="J24" s="131">
        <v>0</v>
      </c>
      <c r="K24" s="132">
        <v>0</v>
      </c>
      <c r="L24" s="132">
        <v>0</v>
      </c>
      <c r="M24" s="130" t="e">
        <f t="shared" si="1"/>
        <v>#VALUE!</v>
      </c>
      <c r="N24" s="134"/>
    </row>
    <row r="25" spans="1:14" ht="30">
      <c r="A25" s="46">
        <v>1</v>
      </c>
      <c r="B25" s="45" t="s">
        <v>139</v>
      </c>
      <c r="C25" s="45" t="s">
        <v>140</v>
      </c>
      <c r="D25" s="32" t="s">
        <v>141</v>
      </c>
      <c r="E25" s="32" t="s">
        <v>100</v>
      </c>
      <c r="F25" s="130">
        <f>8315484*1.05</f>
        <v>8731258.2000000011</v>
      </c>
      <c r="G25" s="130" t="s">
        <v>101</v>
      </c>
      <c r="H25" s="45" t="s">
        <v>101</v>
      </c>
      <c r="I25" s="131">
        <v>0</v>
      </c>
      <c r="J25" s="131">
        <v>0</v>
      </c>
      <c r="K25" s="132">
        <v>0</v>
      </c>
      <c r="L25" s="132">
        <v>0</v>
      </c>
      <c r="M25" s="130" t="e">
        <f t="shared" si="1"/>
        <v>#VALUE!</v>
      </c>
      <c r="N25" s="133"/>
    </row>
    <row r="26" spans="1:14" s="29" customFormat="1" ht="30">
      <c r="A26" s="134">
        <v>1</v>
      </c>
      <c r="B26" s="45" t="s">
        <v>142</v>
      </c>
      <c r="C26" s="45" t="s">
        <v>140</v>
      </c>
      <c r="D26" s="32" t="s">
        <v>143</v>
      </c>
      <c r="E26" s="32" t="s">
        <v>100</v>
      </c>
      <c r="F26" s="130">
        <f>150000*1.05</f>
        <v>157500</v>
      </c>
      <c r="G26" s="130" t="s">
        <v>101</v>
      </c>
      <c r="H26" s="45" t="s">
        <v>101</v>
      </c>
      <c r="I26" s="131">
        <v>0</v>
      </c>
      <c r="J26" s="131">
        <v>0</v>
      </c>
      <c r="K26" s="132">
        <v>0</v>
      </c>
      <c r="L26" s="132">
        <v>0</v>
      </c>
      <c r="M26" s="130" t="e">
        <f t="shared" si="1"/>
        <v>#VALUE!</v>
      </c>
      <c r="N26" s="45"/>
    </row>
    <row r="27" spans="1:14">
      <c r="A27" s="46">
        <v>1</v>
      </c>
      <c r="B27" s="45" t="s">
        <v>144</v>
      </c>
      <c r="C27" s="45" t="s">
        <v>145</v>
      </c>
      <c r="D27" s="32" t="s">
        <v>146</v>
      </c>
      <c r="E27" s="32" t="s">
        <v>100</v>
      </c>
      <c r="F27" s="130">
        <f>2110500*1.05</f>
        <v>2216025</v>
      </c>
      <c r="G27" s="130" t="s">
        <v>101</v>
      </c>
      <c r="H27" s="45" t="s">
        <v>101</v>
      </c>
      <c r="I27" s="131">
        <v>0</v>
      </c>
      <c r="J27" s="131">
        <v>0</v>
      </c>
      <c r="K27" s="132">
        <v>0</v>
      </c>
      <c r="L27" s="132">
        <v>0</v>
      </c>
      <c r="M27" s="130" t="e">
        <f t="shared" si="1"/>
        <v>#VALUE!</v>
      </c>
      <c r="N27" s="133"/>
    </row>
    <row r="28" spans="1:14" s="29" customFormat="1" ht="30">
      <c r="A28" s="134">
        <v>1</v>
      </c>
      <c r="B28" s="45" t="s">
        <v>147</v>
      </c>
      <c r="C28" s="45" t="s">
        <v>145</v>
      </c>
      <c r="D28" s="32" t="s">
        <v>148</v>
      </c>
      <c r="E28" s="32" t="s">
        <v>100</v>
      </c>
      <c r="F28" s="130">
        <f>572500*1.05</f>
        <v>601125</v>
      </c>
      <c r="G28" s="130" t="s">
        <v>101</v>
      </c>
      <c r="H28" s="45" t="s">
        <v>101</v>
      </c>
      <c r="I28" s="131">
        <v>0</v>
      </c>
      <c r="J28" s="131">
        <v>0</v>
      </c>
      <c r="K28" s="132">
        <v>0</v>
      </c>
      <c r="L28" s="132">
        <v>0</v>
      </c>
      <c r="M28" s="130" t="e">
        <f t="shared" si="1"/>
        <v>#VALUE!</v>
      </c>
      <c r="N28" s="45"/>
    </row>
    <row r="29" spans="1:14" s="29" customFormat="1" ht="45">
      <c r="A29" s="134">
        <v>1</v>
      </c>
      <c r="B29" s="45" t="s">
        <v>149</v>
      </c>
      <c r="C29" s="45" t="s">
        <v>150</v>
      </c>
      <c r="D29" s="32" t="s">
        <v>151</v>
      </c>
      <c r="E29" s="32" t="s">
        <v>100</v>
      </c>
      <c r="F29" s="130">
        <f>272122.97*1.05</f>
        <v>285729.11849999998</v>
      </c>
      <c r="G29" s="130" t="s">
        <v>101</v>
      </c>
      <c r="H29" s="45" t="s">
        <v>101</v>
      </c>
      <c r="I29" s="131">
        <v>0</v>
      </c>
      <c r="J29" s="131">
        <v>0</v>
      </c>
      <c r="K29" s="132">
        <v>0</v>
      </c>
      <c r="L29" s="132">
        <v>0</v>
      </c>
      <c r="M29" s="130" t="e">
        <f t="shared" si="1"/>
        <v>#VALUE!</v>
      </c>
      <c r="N29" s="45"/>
    </row>
    <row r="30" spans="1:14" s="29" customFormat="1" ht="30">
      <c r="A30" s="134">
        <v>1</v>
      </c>
      <c r="B30" s="45" t="s">
        <v>152</v>
      </c>
      <c r="C30" s="45" t="s">
        <v>150</v>
      </c>
      <c r="D30" s="32" t="s">
        <v>153</v>
      </c>
      <c r="E30" s="32" t="s">
        <v>100</v>
      </c>
      <c r="F30" s="130">
        <f>157568.04*1.05</f>
        <v>165446.44200000001</v>
      </c>
      <c r="G30" s="130" t="s">
        <v>101</v>
      </c>
      <c r="H30" s="45" t="s">
        <v>101</v>
      </c>
      <c r="I30" s="131">
        <v>0</v>
      </c>
      <c r="J30" s="131">
        <v>0</v>
      </c>
      <c r="K30" s="132">
        <v>0</v>
      </c>
      <c r="L30" s="132">
        <v>0</v>
      </c>
      <c r="M30" s="135" t="e">
        <f t="shared" si="1"/>
        <v>#VALUE!</v>
      </c>
      <c r="N30" s="146"/>
    </row>
    <row r="31" spans="1:14" ht="60">
      <c r="A31" s="46">
        <v>1</v>
      </c>
      <c r="B31" s="45" t="s">
        <v>154</v>
      </c>
      <c r="C31" s="45" t="s">
        <v>150</v>
      </c>
      <c r="D31" s="32" t="s">
        <v>155</v>
      </c>
      <c r="E31" s="32" t="s">
        <v>100</v>
      </c>
      <c r="F31" s="130">
        <f>3018517.05*1.05</f>
        <v>3169442.9024999999</v>
      </c>
      <c r="G31" s="130" t="s">
        <v>101</v>
      </c>
      <c r="H31" s="45" t="s">
        <v>101</v>
      </c>
      <c r="I31" s="131">
        <v>0</v>
      </c>
      <c r="J31" s="131">
        <v>0</v>
      </c>
      <c r="K31" s="132">
        <v>0</v>
      </c>
      <c r="L31" s="132">
        <v>0</v>
      </c>
      <c r="M31" s="130" t="e">
        <f t="shared" si="1"/>
        <v>#VALUE!</v>
      </c>
      <c r="N31" s="134"/>
    </row>
    <row r="32" spans="1:14" s="29" customFormat="1" ht="30">
      <c r="A32" s="134">
        <v>1</v>
      </c>
      <c r="B32" s="45" t="s">
        <v>156</v>
      </c>
      <c r="C32" s="45" t="s">
        <v>157</v>
      </c>
      <c r="D32" s="32" t="s">
        <v>158</v>
      </c>
      <c r="E32" s="32" t="s">
        <v>100</v>
      </c>
      <c r="F32" s="130">
        <f>2465625.15*1.05</f>
        <v>2588906.4075000002</v>
      </c>
      <c r="G32" s="130" t="s">
        <v>101</v>
      </c>
      <c r="H32" s="45" t="s">
        <v>101</v>
      </c>
      <c r="I32" s="131">
        <v>0</v>
      </c>
      <c r="J32" s="131">
        <v>0</v>
      </c>
      <c r="K32" s="132">
        <v>0</v>
      </c>
      <c r="L32" s="132">
        <v>0</v>
      </c>
      <c r="M32" s="130" t="e">
        <f t="shared" si="1"/>
        <v>#VALUE!</v>
      </c>
      <c r="N32" s="45"/>
    </row>
    <row r="33" spans="1:14" ht="30">
      <c r="A33" s="46">
        <v>1</v>
      </c>
      <c r="B33" s="45" t="s">
        <v>159</v>
      </c>
      <c r="C33" s="45" t="s">
        <v>157</v>
      </c>
      <c r="D33" s="32" t="s">
        <v>160</v>
      </c>
      <c r="E33" s="32" t="s">
        <v>100</v>
      </c>
      <c r="F33" s="130">
        <f>4929651*1.05</f>
        <v>5176133.55</v>
      </c>
      <c r="G33" s="130" t="s">
        <v>101</v>
      </c>
      <c r="H33" s="45" t="s">
        <v>101</v>
      </c>
      <c r="I33" s="131">
        <v>0</v>
      </c>
      <c r="J33" s="131">
        <v>0</v>
      </c>
      <c r="K33" s="132">
        <v>0</v>
      </c>
      <c r="L33" s="132">
        <v>0</v>
      </c>
      <c r="M33" s="130" t="e">
        <f t="shared" si="1"/>
        <v>#VALUE!</v>
      </c>
      <c r="N33" s="133"/>
    </row>
    <row r="34" spans="1:14" s="29" customFormat="1" ht="30">
      <c r="A34" s="134">
        <v>1</v>
      </c>
      <c r="B34" s="45" t="s">
        <v>161</v>
      </c>
      <c r="C34" s="45" t="s">
        <v>162</v>
      </c>
      <c r="D34" s="32" t="s">
        <v>163</v>
      </c>
      <c r="E34" s="32" t="s">
        <v>100</v>
      </c>
      <c r="F34" s="130">
        <f>2785000*1.05</f>
        <v>2924250</v>
      </c>
      <c r="G34" s="130" t="s">
        <v>101</v>
      </c>
      <c r="H34" s="45" t="s">
        <v>101</v>
      </c>
      <c r="I34" s="131">
        <v>0</v>
      </c>
      <c r="J34" s="131">
        <v>0</v>
      </c>
      <c r="K34" s="132">
        <v>0</v>
      </c>
      <c r="L34" s="132">
        <v>0</v>
      </c>
      <c r="M34" s="130" t="e">
        <f t="shared" si="1"/>
        <v>#VALUE!</v>
      </c>
      <c r="N34" s="45"/>
    </row>
    <row r="35" spans="1:14" ht="30">
      <c r="A35" s="46">
        <v>1</v>
      </c>
      <c r="B35" s="45" t="s">
        <v>164</v>
      </c>
      <c r="C35" s="45" t="s">
        <v>162</v>
      </c>
      <c r="D35" s="32" t="s">
        <v>165</v>
      </c>
      <c r="E35" s="32" t="s">
        <v>100</v>
      </c>
      <c r="F35" s="130">
        <f>962485*1.05</f>
        <v>1010609.25</v>
      </c>
      <c r="G35" s="130" t="s">
        <v>101</v>
      </c>
      <c r="H35" s="45" t="s">
        <v>101</v>
      </c>
      <c r="I35" s="131">
        <v>0</v>
      </c>
      <c r="J35" s="131">
        <v>0</v>
      </c>
      <c r="K35" s="132">
        <v>0</v>
      </c>
      <c r="L35" s="132">
        <v>0</v>
      </c>
      <c r="M35" s="130" t="e">
        <f t="shared" si="1"/>
        <v>#VALUE!</v>
      </c>
      <c r="N35" s="133"/>
    </row>
    <row r="36" spans="1:14" s="29" customFormat="1" ht="30">
      <c r="A36" s="134">
        <v>1</v>
      </c>
      <c r="B36" s="45" t="s">
        <v>166</v>
      </c>
      <c r="C36" s="45" t="s">
        <v>162</v>
      </c>
      <c r="D36" s="32" t="s">
        <v>167</v>
      </c>
      <c r="E36" s="32" t="s">
        <v>100</v>
      </c>
      <c r="F36" s="130">
        <f>419550*1.05</f>
        <v>440527.5</v>
      </c>
      <c r="G36" s="130" t="s">
        <v>101</v>
      </c>
      <c r="H36" s="45" t="s">
        <v>101</v>
      </c>
      <c r="I36" s="131">
        <v>0</v>
      </c>
      <c r="J36" s="131">
        <v>0</v>
      </c>
      <c r="K36" s="132">
        <v>0</v>
      </c>
      <c r="L36" s="132">
        <v>0</v>
      </c>
      <c r="M36" s="130" t="e">
        <f t="shared" si="1"/>
        <v>#VALUE!</v>
      </c>
      <c r="N36" s="45"/>
    </row>
    <row r="37" spans="1:14" ht="30">
      <c r="A37" s="46">
        <v>1</v>
      </c>
      <c r="B37" s="45" t="s">
        <v>168</v>
      </c>
      <c r="C37" s="45" t="s">
        <v>162</v>
      </c>
      <c r="D37" s="32" t="s">
        <v>169</v>
      </c>
      <c r="E37" s="32" t="s">
        <v>100</v>
      </c>
      <c r="F37" s="130">
        <f>1143050*1.05</f>
        <v>1200202.5</v>
      </c>
      <c r="G37" s="130" t="s">
        <v>101</v>
      </c>
      <c r="H37" s="45" t="s">
        <v>101</v>
      </c>
      <c r="I37" s="131">
        <v>0</v>
      </c>
      <c r="J37" s="131">
        <v>0</v>
      </c>
      <c r="K37" s="132">
        <v>0</v>
      </c>
      <c r="L37" s="132">
        <v>0</v>
      </c>
      <c r="M37" s="135" t="e">
        <f t="shared" si="1"/>
        <v>#VALUE!</v>
      </c>
      <c r="N37" s="136"/>
    </row>
    <row r="38" spans="1:14" s="29" customFormat="1" ht="135">
      <c r="A38" s="134">
        <v>1</v>
      </c>
      <c r="B38" s="45" t="s">
        <v>170</v>
      </c>
      <c r="C38" s="45" t="s">
        <v>171</v>
      </c>
      <c r="D38" s="32" t="s">
        <v>172</v>
      </c>
      <c r="E38" s="32" t="s">
        <v>100</v>
      </c>
      <c r="F38" s="130">
        <f>607465*1.05</f>
        <v>637838.25</v>
      </c>
      <c r="G38" s="130" t="s">
        <v>101</v>
      </c>
      <c r="H38" s="45" t="s">
        <v>101</v>
      </c>
      <c r="I38" s="131">
        <v>0</v>
      </c>
      <c r="J38" s="131">
        <v>0</v>
      </c>
      <c r="K38" s="132">
        <v>0</v>
      </c>
      <c r="L38" s="132">
        <v>0</v>
      </c>
      <c r="M38" s="130" t="e">
        <f t="shared" si="1"/>
        <v>#VALUE!</v>
      </c>
      <c r="N38" s="45"/>
    </row>
    <row r="39" spans="1:14" ht="30">
      <c r="A39" s="46">
        <v>1</v>
      </c>
      <c r="B39" s="45" t="s">
        <v>173</v>
      </c>
      <c r="C39" s="45" t="s">
        <v>171</v>
      </c>
      <c r="D39" s="32" t="s">
        <v>174</v>
      </c>
      <c r="E39" s="32" t="s">
        <v>100</v>
      </c>
      <c r="F39" s="130">
        <f>1531156*1.05</f>
        <v>1607713.8</v>
      </c>
      <c r="G39" s="130" t="s">
        <v>101</v>
      </c>
      <c r="H39" s="45" t="s">
        <v>101</v>
      </c>
      <c r="I39" s="131">
        <v>0</v>
      </c>
      <c r="J39" s="131">
        <v>0</v>
      </c>
      <c r="K39" s="132">
        <v>0</v>
      </c>
      <c r="L39" s="132">
        <v>0</v>
      </c>
      <c r="M39" s="130" t="e">
        <f t="shared" si="1"/>
        <v>#VALUE!</v>
      </c>
      <c r="N39" s="133"/>
    </row>
    <row r="40" spans="1:14" s="29" customFormat="1" ht="30">
      <c r="A40" s="134">
        <v>2</v>
      </c>
      <c r="B40" s="45" t="s">
        <v>175</v>
      </c>
      <c r="C40" s="45" t="s">
        <v>98</v>
      </c>
      <c r="D40" s="32" t="s">
        <v>176</v>
      </c>
      <c r="E40" s="32" t="s">
        <v>100</v>
      </c>
      <c r="F40" s="130">
        <f>1307580*1.05</f>
        <v>1372959</v>
      </c>
      <c r="G40" s="130" t="s">
        <v>101</v>
      </c>
      <c r="H40" s="45" t="s">
        <v>101</v>
      </c>
      <c r="I40" s="131">
        <v>0</v>
      </c>
      <c r="J40" s="131">
        <v>0</v>
      </c>
      <c r="K40" s="132">
        <v>0</v>
      </c>
      <c r="L40" s="132">
        <v>0</v>
      </c>
      <c r="M40" s="130" t="e">
        <f t="shared" si="1"/>
        <v>#VALUE!</v>
      </c>
      <c r="N40" s="45"/>
    </row>
    <row r="41" spans="1:14" ht="45">
      <c r="A41" s="46">
        <v>2</v>
      </c>
      <c r="B41" s="45" t="s">
        <v>177</v>
      </c>
      <c r="C41" s="45" t="s">
        <v>98</v>
      </c>
      <c r="D41" s="32" t="s">
        <v>178</v>
      </c>
      <c r="E41" s="32" t="s">
        <v>100</v>
      </c>
      <c r="F41" s="130">
        <f>2612410*1.05</f>
        <v>2743030.5</v>
      </c>
      <c r="G41" s="130" t="s">
        <v>101</v>
      </c>
      <c r="H41" s="45" t="s">
        <v>101</v>
      </c>
      <c r="I41" s="131">
        <v>0</v>
      </c>
      <c r="J41" s="131">
        <v>0</v>
      </c>
      <c r="K41" s="132">
        <v>0</v>
      </c>
      <c r="L41" s="132">
        <v>0</v>
      </c>
      <c r="M41" s="135" t="e">
        <f t="shared" si="1"/>
        <v>#VALUE!</v>
      </c>
      <c r="N41" s="136"/>
    </row>
    <row r="42" spans="1:14" s="29" customFormat="1" ht="60">
      <c r="A42" s="134">
        <v>2</v>
      </c>
      <c r="B42" s="45" t="s">
        <v>179</v>
      </c>
      <c r="C42" s="45" t="s">
        <v>109</v>
      </c>
      <c r="D42" s="32" t="s">
        <v>180</v>
      </c>
      <c r="E42" s="32" t="s">
        <v>100</v>
      </c>
      <c r="F42" s="130">
        <f>7574970.88*1.05</f>
        <v>7953719.4240000006</v>
      </c>
      <c r="G42" s="130" t="s">
        <v>101</v>
      </c>
      <c r="H42" s="45" t="s">
        <v>101</v>
      </c>
      <c r="I42" s="131">
        <v>0</v>
      </c>
      <c r="J42" s="131">
        <v>0</v>
      </c>
      <c r="K42" s="132">
        <v>0</v>
      </c>
      <c r="L42" s="132">
        <v>0</v>
      </c>
      <c r="M42" s="130" t="e">
        <f t="shared" si="1"/>
        <v>#VALUE!</v>
      </c>
      <c r="N42" s="134"/>
    </row>
    <row r="43" spans="1:14" ht="30">
      <c r="A43" s="46">
        <v>2</v>
      </c>
      <c r="B43" s="45" t="s">
        <v>181</v>
      </c>
      <c r="C43" s="45" t="s">
        <v>109</v>
      </c>
      <c r="D43" s="32" t="s">
        <v>182</v>
      </c>
      <c r="E43" s="32" t="s">
        <v>100</v>
      </c>
      <c r="F43" s="130">
        <f>1127840.88*1.05</f>
        <v>1184232.9239999999</v>
      </c>
      <c r="G43" s="130" t="s">
        <v>101</v>
      </c>
      <c r="H43" s="45" t="s">
        <v>101</v>
      </c>
      <c r="I43" s="131">
        <v>0</v>
      </c>
      <c r="J43" s="131">
        <v>0</v>
      </c>
      <c r="K43" s="132">
        <v>0</v>
      </c>
      <c r="L43" s="132">
        <v>0</v>
      </c>
      <c r="M43" s="130" t="e">
        <f t="shared" si="1"/>
        <v>#VALUE!</v>
      </c>
      <c r="N43" s="133"/>
    </row>
    <row r="44" spans="1:14" s="29" customFormat="1" ht="30">
      <c r="A44" s="134">
        <v>2</v>
      </c>
      <c r="B44" s="45" t="s">
        <v>183</v>
      </c>
      <c r="C44" s="45" t="s">
        <v>121</v>
      </c>
      <c r="D44" s="32" t="s">
        <v>184</v>
      </c>
      <c r="E44" s="32" t="s">
        <v>100</v>
      </c>
      <c r="F44" s="130">
        <f>536400*1.05</f>
        <v>563220</v>
      </c>
      <c r="G44" s="130" t="s">
        <v>101</v>
      </c>
      <c r="H44" s="45" t="s">
        <v>101</v>
      </c>
      <c r="I44" s="131">
        <v>0</v>
      </c>
      <c r="J44" s="131">
        <v>0</v>
      </c>
      <c r="K44" s="132">
        <v>0</v>
      </c>
      <c r="L44" s="132">
        <v>0</v>
      </c>
      <c r="M44" s="130" t="e">
        <f t="shared" si="1"/>
        <v>#VALUE!</v>
      </c>
      <c r="N44" s="45"/>
    </row>
    <row r="45" spans="1:14" ht="30">
      <c r="A45" s="46">
        <v>2</v>
      </c>
      <c r="B45" s="45" t="s">
        <v>185</v>
      </c>
      <c r="C45" s="45" t="s">
        <v>124</v>
      </c>
      <c r="D45" s="32" t="s">
        <v>186</v>
      </c>
      <c r="E45" s="32" t="s">
        <v>100</v>
      </c>
      <c r="F45" s="130">
        <v>2123520</v>
      </c>
      <c r="G45" s="130" t="s">
        <v>101</v>
      </c>
      <c r="H45" s="45" t="s">
        <v>101</v>
      </c>
      <c r="I45" s="131">
        <v>0</v>
      </c>
      <c r="J45" s="131">
        <v>0</v>
      </c>
      <c r="K45" s="132">
        <v>0</v>
      </c>
      <c r="L45" s="132">
        <v>0</v>
      </c>
      <c r="M45" s="130" t="e">
        <f t="shared" si="1"/>
        <v>#VALUE!</v>
      </c>
      <c r="N45" s="136"/>
    </row>
    <row r="46" spans="1:14" s="29" customFormat="1" ht="30">
      <c r="A46" s="134">
        <v>2</v>
      </c>
      <c r="B46" s="45" t="s">
        <v>187</v>
      </c>
      <c r="C46" s="45" t="s">
        <v>131</v>
      </c>
      <c r="D46" s="32" t="s">
        <v>188</v>
      </c>
      <c r="E46" s="32" t="s">
        <v>100</v>
      </c>
      <c r="F46" s="130">
        <f>154418.96*1.05</f>
        <v>162139.908</v>
      </c>
      <c r="G46" s="130" t="s">
        <v>101</v>
      </c>
      <c r="H46" s="45" t="s">
        <v>101</v>
      </c>
      <c r="I46" s="131">
        <v>0</v>
      </c>
      <c r="J46" s="131">
        <v>0</v>
      </c>
      <c r="K46" s="132">
        <v>0</v>
      </c>
      <c r="L46" s="132">
        <v>0</v>
      </c>
      <c r="M46" s="135" t="e">
        <f t="shared" si="1"/>
        <v>#VALUE!</v>
      </c>
      <c r="N46" s="146"/>
    </row>
    <row r="47" spans="1:14">
      <c r="A47" s="46">
        <v>2</v>
      </c>
      <c r="B47" s="45" t="s">
        <v>189</v>
      </c>
      <c r="C47" s="45" t="s">
        <v>150</v>
      </c>
      <c r="D47" s="32" t="s">
        <v>146</v>
      </c>
      <c r="E47" s="32" t="s">
        <v>100</v>
      </c>
      <c r="F47" s="130">
        <v>3751024.46</v>
      </c>
      <c r="G47" s="130" t="s">
        <v>101</v>
      </c>
      <c r="H47" s="45" t="s">
        <v>101</v>
      </c>
      <c r="I47" s="131">
        <v>0</v>
      </c>
      <c r="J47" s="131">
        <v>0</v>
      </c>
      <c r="K47" s="132">
        <v>0</v>
      </c>
      <c r="L47" s="132">
        <v>0</v>
      </c>
      <c r="M47" s="130" t="e">
        <f t="shared" si="1"/>
        <v>#VALUE!</v>
      </c>
      <c r="N47" s="133"/>
    </row>
    <row r="48" spans="1:14" s="29" customFormat="1">
      <c r="A48" s="134">
        <v>2</v>
      </c>
      <c r="B48" s="45" t="s">
        <v>190</v>
      </c>
      <c r="C48" s="45" t="s">
        <v>157</v>
      </c>
      <c r="D48" s="32" t="s">
        <v>191</v>
      </c>
      <c r="E48" s="32" t="s">
        <v>100</v>
      </c>
      <c r="F48" s="130">
        <v>908302.08</v>
      </c>
      <c r="G48" s="130" t="s">
        <v>101</v>
      </c>
      <c r="H48" s="45" t="s">
        <v>101</v>
      </c>
      <c r="I48" s="131">
        <v>0</v>
      </c>
      <c r="J48" s="131">
        <v>0</v>
      </c>
      <c r="K48" s="132">
        <v>0</v>
      </c>
      <c r="L48" s="132">
        <v>0</v>
      </c>
      <c r="M48" s="130" t="e">
        <f t="shared" si="1"/>
        <v>#VALUE!</v>
      </c>
      <c r="N48" s="45"/>
    </row>
    <row r="49" spans="1:14" ht="30">
      <c r="A49" s="46">
        <v>2</v>
      </c>
      <c r="B49" s="45" t="s">
        <v>192</v>
      </c>
      <c r="C49" s="45" t="s">
        <v>157</v>
      </c>
      <c r="D49" s="32" t="s">
        <v>193</v>
      </c>
      <c r="E49" s="32" t="s">
        <v>100</v>
      </c>
      <c r="F49" s="130">
        <v>796524.77</v>
      </c>
      <c r="G49" s="130" t="s">
        <v>101</v>
      </c>
      <c r="H49" s="45" t="s">
        <v>101</v>
      </c>
      <c r="I49" s="131">
        <v>0</v>
      </c>
      <c r="J49" s="131">
        <v>0</v>
      </c>
      <c r="K49" s="132">
        <v>0</v>
      </c>
      <c r="L49" s="132">
        <v>0</v>
      </c>
      <c r="M49" s="130" t="e">
        <f t="shared" si="1"/>
        <v>#VALUE!</v>
      </c>
      <c r="N49" s="133"/>
    </row>
    <row r="50" spans="1:14" s="29" customFormat="1" ht="30">
      <c r="A50" s="134">
        <v>3</v>
      </c>
      <c r="B50" s="45" t="s">
        <v>194</v>
      </c>
      <c r="C50" s="45" t="s">
        <v>98</v>
      </c>
      <c r="D50" s="32" t="s">
        <v>195</v>
      </c>
      <c r="E50" s="32" t="s">
        <v>100</v>
      </c>
      <c r="F50" s="130">
        <v>459112.5</v>
      </c>
      <c r="G50" s="130" t="s">
        <v>101</v>
      </c>
      <c r="H50" s="45" t="s">
        <v>101</v>
      </c>
      <c r="I50" s="131">
        <v>0</v>
      </c>
      <c r="J50" s="131">
        <v>0</v>
      </c>
      <c r="K50" s="132">
        <v>0</v>
      </c>
      <c r="L50" s="132">
        <v>0</v>
      </c>
      <c r="M50" s="130" t="e">
        <f t="shared" si="1"/>
        <v>#VALUE!</v>
      </c>
      <c r="N50" s="146"/>
    </row>
    <row r="51" spans="1:14" ht="45">
      <c r="A51" s="46">
        <v>3</v>
      </c>
      <c r="B51" s="45" t="s">
        <v>196</v>
      </c>
      <c r="C51" s="45" t="s">
        <v>109</v>
      </c>
      <c r="D51" s="32" t="s">
        <v>197</v>
      </c>
      <c r="E51" s="32" t="s">
        <v>100</v>
      </c>
      <c r="F51" s="130">
        <v>326154.44</v>
      </c>
      <c r="G51" s="130" t="s">
        <v>101</v>
      </c>
      <c r="H51" s="45" t="s">
        <v>101</v>
      </c>
      <c r="I51" s="131">
        <v>0</v>
      </c>
      <c r="J51" s="131">
        <v>0</v>
      </c>
      <c r="K51" s="132">
        <v>0</v>
      </c>
      <c r="L51" s="132">
        <v>0</v>
      </c>
      <c r="M51" s="130" t="e">
        <f t="shared" si="1"/>
        <v>#VALUE!</v>
      </c>
      <c r="N51" s="136"/>
    </row>
    <row r="52" spans="1:14" s="29" customFormat="1" ht="30">
      <c r="A52" s="134">
        <v>3</v>
      </c>
      <c r="B52" s="45" t="s">
        <v>198</v>
      </c>
      <c r="C52" s="45" t="s">
        <v>116</v>
      </c>
      <c r="D52" s="32" t="s">
        <v>199</v>
      </c>
      <c r="E52" s="32" t="s">
        <v>100</v>
      </c>
      <c r="F52" s="130">
        <v>684809.72</v>
      </c>
      <c r="G52" s="130" t="s">
        <v>101</v>
      </c>
      <c r="H52" s="45" t="s">
        <v>101</v>
      </c>
      <c r="I52" s="131">
        <v>0</v>
      </c>
      <c r="J52" s="131">
        <v>0</v>
      </c>
      <c r="K52" s="132">
        <v>0</v>
      </c>
      <c r="L52" s="132">
        <v>0</v>
      </c>
      <c r="M52" s="130" t="e">
        <f t="shared" si="1"/>
        <v>#VALUE!</v>
      </c>
      <c r="N52" s="146"/>
    </row>
    <row r="53" spans="1:14" ht="30">
      <c r="A53" s="46">
        <v>3</v>
      </c>
      <c r="B53" s="45" t="s">
        <v>200</v>
      </c>
      <c r="C53" s="45" t="s">
        <v>121</v>
      </c>
      <c r="D53" s="32" t="s">
        <v>201</v>
      </c>
      <c r="E53" s="32" t="s">
        <v>100</v>
      </c>
      <c r="F53" s="130">
        <v>660286</v>
      </c>
      <c r="G53" s="130" t="s">
        <v>101</v>
      </c>
      <c r="H53" s="45" t="s">
        <v>101</v>
      </c>
      <c r="I53" s="131">
        <v>0</v>
      </c>
      <c r="J53" s="131">
        <v>0</v>
      </c>
      <c r="K53" s="132">
        <v>0</v>
      </c>
      <c r="L53" s="132">
        <v>0</v>
      </c>
      <c r="M53" s="130" t="e">
        <f t="shared" si="1"/>
        <v>#VALUE!</v>
      </c>
      <c r="N53" s="136"/>
    </row>
    <row r="54" spans="1:14" s="29" customFormat="1">
      <c r="A54" s="134">
        <v>3</v>
      </c>
      <c r="B54" s="45" t="s">
        <v>202</v>
      </c>
      <c r="C54" s="45" t="s">
        <v>124</v>
      </c>
      <c r="D54" s="32" t="s">
        <v>203</v>
      </c>
      <c r="E54" s="32" t="s">
        <v>100</v>
      </c>
      <c r="F54" s="130">
        <v>255360</v>
      </c>
      <c r="G54" s="130" t="s">
        <v>101</v>
      </c>
      <c r="H54" s="45" t="s">
        <v>101</v>
      </c>
      <c r="I54" s="131">
        <v>0</v>
      </c>
      <c r="J54" s="131">
        <v>0</v>
      </c>
      <c r="K54" s="132">
        <v>0</v>
      </c>
      <c r="L54" s="132">
        <v>0</v>
      </c>
      <c r="M54" s="130" t="e">
        <f t="shared" si="1"/>
        <v>#VALUE!</v>
      </c>
      <c r="N54" s="146"/>
    </row>
    <row r="55" spans="1:14" ht="30">
      <c r="A55" s="46">
        <v>3</v>
      </c>
      <c r="B55" s="45" t="s">
        <v>204</v>
      </c>
      <c r="C55" s="45" t="s">
        <v>145</v>
      </c>
      <c r="D55" s="32" t="s">
        <v>205</v>
      </c>
      <c r="E55" s="32" t="s">
        <v>100</v>
      </c>
      <c r="F55" s="130">
        <v>614775</v>
      </c>
      <c r="G55" s="130" t="s">
        <v>101</v>
      </c>
      <c r="H55" s="45" t="s">
        <v>101</v>
      </c>
      <c r="I55" s="131">
        <v>0</v>
      </c>
      <c r="J55" s="131">
        <v>0</v>
      </c>
      <c r="K55" s="132">
        <v>0</v>
      </c>
      <c r="L55" s="132">
        <v>0</v>
      </c>
      <c r="M55" s="130" t="e">
        <f t="shared" si="1"/>
        <v>#VALUE!</v>
      </c>
      <c r="N55" s="136"/>
    </row>
    <row r="56" spans="1:14" s="29" customFormat="1" ht="30.75" thickBot="1">
      <c r="A56" s="134">
        <v>3</v>
      </c>
      <c r="B56" s="45" t="s">
        <v>206</v>
      </c>
      <c r="C56" s="45" t="s">
        <v>150</v>
      </c>
      <c r="D56" s="32" t="s">
        <v>207</v>
      </c>
      <c r="E56" s="32" t="s">
        <v>100</v>
      </c>
      <c r="F56" s="130">
        <v>47832.86</v>
      </c>
      <c r="G56" s="130" t="s">
        <v>101</v>
      </c>
      <c r="H56" s="45" t="s">
        <v>101</v>
      </c>
      <c r="I56" s="131">
        <v>0</v>
      </c>
      <c r="J56" s="131">
        <v>0</v>
      </c>
      <c r="K56" s="132">
        <v>0</v>
      </c>
      <c r="L56" s="132">
        <v>0</v>
      </c>
      <c r="M56" s="135" t="e">
        <f t="shared" si="1"/>
        <v>#VALUE!</v>
      </c>
      <c r="N56" s="146"/>
    </row>
    <row r="57" spans="1:14" ht="16.5" thickBot="1">
      <c r="A57" s="137"/>
      <c r="B57" s="138"/>
      <c r="C57" s="137"/>
      <c r="D57" s="139" t="s">
        <v>54</v>
      </c>
      <c r="E57" s="140"/>
      <c r="F57" s="141">
        <f>SUM(F8:F56)</f>
        <v>79862729.373499975</v>
      </c>
      <c r="G57" s="142">
        <f>SUM(G8:G46)</f>
        <v>0</v>
      </c>
      <c r="H57" s="143"/>
      <c r="I57" s="143"/>
      <c r="J57" s="141">
        <f>SUM(K8:K46)</f>
        <v>0</v>
      </c>
      <c r="K57" s="142">
        <f>SUM(L8:L46)</f>
        <v>0</v>
      </c>
      <c r="L57" s="144">
        <f>G57-J57-K57</f>
        <v>0</v>
      </c>
      <c r="M57" s="145"/>
      <c r="N57" s="137"/>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topLeftCell="A22" zoomScale="90" zoomScaleNormal="90" workbookViewId="0">
      <selection activeCell="D11" sqref="D11"/>
    </sheetView>
  </sheetViews>
  <sheetFormatPr defaultRowHeight="15"/>
  <cols>
    <col min="1" max="1" width="10.140625" customWidth="1"/>
    <col min="2" max="2" width="15.42578125" customWidth="1"/>
    <col min="3" max="3" width="30.85546875" customWidth="1"/>
    <col min="4" max="4" width="66" customWidth="1"/>
    <col min="5" max="5" width="11.42578125" customWidth="1"/>
    <col min="6" max="6" width="18.7109375" customWidth="1"/>
    <col min="7" max="7" width="16.85546875" customWidth="1"/>
    <col min="8" max="8" width="16.5703125" customWidth="1"/>
    <col min="9" max="9" width="13.5703125" customWidth="1"/>
    <col min="10" max="10" width="13.85546875" customWidth="1"/>
    <col min="11" max="11" width="16.5703125" customWidth="1"/>
    <col min="12" max="13" width="17" customWidth="1"/>
    <col min="14" max="14" width="79.140625" customWidth="1"/>
    <col min="15" max="15" width="15.5703125" customWidth="1"/>
    <col min="16" max="16" width="14.85546875" customWidth="1"/>
    <col min="17" max="17" width="12.42578125" bestFit="1" customWidth="1"/>
    <col min="18" max="18" width="10" customWidth="1"/>
    <col min="19" max="19" width="16.28515625" customWidth="1"/>
    <col min="20" max="21" width="16.140625" customWidth="1"/>
  </cols>
  <sheetData>
    <row r="1" spans="1:14" ht="23.25" customHeight="1">
      <c r="B1" s="20" t="s">
        <v>17</v>
      </c>
      <c r="C1" s="537" t="s">
        <v>299</v>
      </c>
      <c r="D1" s="538"/>
      <c r="E1" s="21"/>
      <c r="I1" s="22"/>
    </row>
    <row r="2" spans="1:14" ht="23.25" customHeight="1">
      <c r="B2" s="20" t="s">
        <v>19</v>
      </c>
      <c r="C2" s="539">
        <f ca="1">TODAY()</f>
        <v>43040</v>
      </c>
      <c r="D2" s="540"/>
      <c r="E2" s="23"/>
      <c r="G2" s="22"/>
      <c r="H2" s="24"/>
      <c r="I2" s="22"/>
      <c r="J2" s="22"/>
      <c r="M2" s="25">
        <f ca="1">TODAY()</f>
        <v>43040</v>
      </c>
    </row>
    <row r="3" spans="1:14" ht="36" customHeight="1">
      <c r="B3" s="20" t="s">
        <v>20</v>
      </c>
      <c r="C3" s="541" t="s">
        <v>300</v>
      </c>
      <c r="D3" s="542"/>
      <c r="E3" s="26"/>
    </row>
    <row r="4" spans="1:14" ht="9" customHeight="1">
      <c r="B4" s="27"/>
      <c r="C4" s="28"/>
      <c r="D4" s="29"/>
      <c r="E4" s="29"/>
    </row>
    <row r="5" spans="1:14" ht="15.75" customHeight="1">
      <c r="A5" s="543" t="s">
        <v>57</v>
      </c>
      <c r="B5" s="547" t="s">
        <v>22</v>
      </c>
      <c r="C5" s="547" t="s">
        <v>23</v>
      </c>
      <c r="D5" s="547" t="s">
        <v>24</v>
      </c>
      <c r="E5" s="547" t="s">
        <v>25</v>
      </c>
      <c r="F5" s="547" t="s">
        <v>15</v>
      </c>
      <c r="G5" s="547" t="s">
        <v>58</v>
      </c>
      <c r="H5" s="543" t="s">
        <v>26</v>
      </c>
      <c r="I5" s="609" t="s">
        <v>27</v>
      </c>
      <c r="J5" s="547" t="s">
        <v>28</v>
      </c>
      <c r="K5" s="543" t="s">
        <v>13</v>
      </c>
      <c r="L5" s="543" t="s">
        <v>11</v>
      </c>
      <c r="M5" s="543" t="s">
        <v>9</v>
      </c>
      <c r="N5" s="543" t="s">
        <v>31</v>
      </c>
    </row>
    <row r="6" spans="1:14" ht="15.75" customHeight="1">
      <c r="A6" s="544"/>
      <c r="B6" s="547"/>
      <c r="C6" s="547"/>
      <c r="D6" s="547"/>
      <c r="E6" s="547"/>
      <c r="F6" s="547"/>
      <c r="G6" s="547"/>
      <c r="H6" s="544"/>
      <c r="I6" s="610"/>
      <c r="J6" s="547"/>
      <c r="K6" s="544"/>
      <c r="L6" s="544"/>
      <c r="M6" s="544"/>
      <c r="N6" s="544"/>
    </row>
    <row r="7" spans="1:14" s="29" customFormat="1" ht="50.25" customHeight="1">
      <c r="A7" s="545"/>
      <c r="B7" s="547"/>
      <c r="C7" s="547"/>
      <c r="D7" s="547"/>
      <c r="E7" s="547"/>
      <c r="F7" s="547"/>
      <c r="G7" s="547"/>
      <c r="H7" s="545"/>
      <c r="I7" s="611"/>
      <c r="J7" s="547"/>
      <c r="K7" s="545"/>
      <c r="L7" s="545"/>
      <c r="M7" s="545"/>
      <c r="N7" s="545"/>
    </row>
    <row r="8" spans="1:14" s="29" customFormat="1" ht="60.75" customHeight="1">
      <c r="A8" s="30">
        <v>1</v>
      </c>
      <c r="B8" s="30">
        <v>644</v>
      </c>
      <c r="C8" s="31" t="s">
        <v>301</v>
      </c>
      <c r="D8" s="31" t="s">
        <v>302</v>
      </c>
      <c r="E8" s="30" t="s">
        <v>34</v>
      </c>
      <c r="F8" s="163">
        <v>1483131</v>
      </c>
      <c r="G8" s="33">
        <f>F8</f>
        <v>1483131</v>
      </c>
      <c r="H8" s="34">
        <v>43434</v>
      </c>
      <c r="I8" s="35">
        <v>0</v>
      </c>
      <c r="J8" s="35">
        <v>0</v>
      </c>
      <c r="K8" s="36">
        <v>0</v>
      </c>
      <c r="L8" s="36">
        <v>0</v>
      </c>
      <c r="M8" s="33">
        <f>G8-K8-L8</f>
        <v>1483131</v>
      </c>
      <c r="N8" s="30"/>
    </row>
    <row r="9" spans="1:14" s="29" customFormat="1" ht="37.5" customHeight="1">
      <c r="A9" s="30">
        <v>2</v>
      </c>
      <c r="B9" s="30">
        <v>644</v>
      </c>
      <c r="C9" s="43" t="s">
        <v>303</v>
      </c>
      <c r="D9" s="43" t="s">
        <v>304</v>
      </c>
      <c r="E9" s="30" t="s">
        <v>34</v>
      </c>
      <c r="F9" s="164">
        <v>115345</v>
      </c>
      <c r="G9" s="33">
        <f t="shared" ref="G9:G30" si="0">F9</f>
        <v>115345</v>
      </c>
      <c r="H9" s="34">
        <v>43434</v>
      </c>
      <c r="I9" s="35">
        <v>0</v>
      </c>
      <c r="J9" s="35">
        <v>0</v>
      </c>
      <c r="K9" s="44">
        <v>0</v>
      </c>
      <c r="L9" s="44">
        <v>0</v>
      </c>
      <c r="M9" s="33">
        <f t="shared" ref="M9:M32" si="1">G9-K9-L9</f>
        <v>115345</v>
      </c>
      <c r="N9" s="43"/>
    </row>
    <row r="10" spans="1:14" s="29" customFormat="1" ht="39.75" customHeight="1">
      <c r="A10" s="30">
        <v>3</v>
      </c>
      <c r="B10" s="30">
        <v>644</v>
      </c>
      <c r="C10" s="43" t="s">
        <v>305</v>
      </c>
      <c r="D10" s="43" t="s">
        <v>306</v>
      </c>
      <c r="E10" s="30" t="s">
        <v>34</v>
      </c>
      <c r="F10" s="164">
        <v>122013</v>
      </c>
      <c r="G10" s="33">
        <f t="shared" si="0"/>
        <v>122013</v>
      </c>
      <c r="H10" s="34">
        <v>43465</v>
      </c>
      <c r="I10" s="35">
        <v>0</v>
      </c>
      <c r="J10" s="35">
        <v>0</v>
      </c>
      <c r="K10" s="44">
        <v>0</v>
      </c>
      <c r="L10" s="44">
        <v>0</v>
      </c>
      <c r="M10" s="33">
        <f t="shared" si="1"/>
        <v>122013</v>
      </c>
      <c r="N10" s="30"/>
    </row>
    <row r="11" spans="1:14" s="29" customFormat="1" ht="45" customHeight="1">
      <c r="A11" s="30">
        <v>4</v>
      </c>
      <c r="B11" s="30">
        <v>644</v>
      </c>
      <c r="C11" s="43" t="s">
        <v>307</v>
      </c>
      <c r="D11" s="43" t="s">
        <v>308</v>
      </c>
      <c r="E11" s="30" t="s">
        <v>34</v>
      </c>
      <c r="F11" s="164">
        <v>1195113</v>
      </c>
      <c r="G11" s="33">
        <f t="shared" si="0"/>
        <v>1195113</v>
      </c>
      <c r="H11" s="34">
        <v>43465</v>
      </c>
      <c r="I11" s="35">
        <v>0</v>
      </c>
      <c r="J11" s="35">
        <v>0</v>
      </c>
      <c r="K11" s="44">
        <v>0</v>
      </c>
      <c r="L11" s="44">
        <v>0</v>
      </c>
      <c r="M11" s="33">
        <f t="shared" si="1"/>
        <v>1195113</v>
      </c>
      <c r="N11" s="43"/>
    </row>
    <row r="12" spans="1:14" s="29" customFormat="1" ht="45" customHeight="1">
      <c r="A12" s="30">
        <v>5</v>
      </c>
      <c r="B12" s="30">
        <v>644</v>
      </c>
      <c r="C12" s="43" t="s">
        <v>309</v>
      </c>
      <c r="D12" s="43" t="s">
        <v>310</v>
      </c>
      <c r="E12" s="30" t="s">
        <v>34</v>
      </c>
      <c r="F12" s="164">
        <v>402689</v>
      </c>
      <c r="G12" s="33">
        <f t="shared" si="0"/>
        <v>402689</v>
      </c>
      <c r="H12" s="34">
        <v>43496</v>
      </c>
      <c r="I12" s="35">
        <v>0</v>
      </c>
      <c r="J12" s="35">
        <v>0</v>
      </c>
      <c r="K12" s="44">
        <v>0</v>
      </c>
      <c r="L12" s="44">
        <v>0</v>
      </c>
      <c r="M12" s="33">
        <f t="shared" si="1"/>
        <v>402689</v>
      </c>
      <c r="N12" s="30"/>
    </row>
    <row r="13" spans="1:14" s="29" customFormat="1" ht="45" customHeight="1">
      <c r="A13" s="30">
        <v>6</v>
      </c>
      <c r="B13" s="30">
        <v>644</v>
      </c>
      <c r="C13" s="43" t="s">
        <v>311</v>
      </c>
      <c r="D13" s="43" t="s">
        <v>308</v>
      </c>
      <c r="E13" s="30" t="s">
        <v>34</v>
      </c>
      <c r="F13" s="164">
        <v>2136636</v>
      </c>
      <c r="G13" s="33">
        <f t="shared" si="0"/>
        <v>2136636</v>
      </c>
      <c r="H13" s="34">
        <v>43496</v>
      </c>
      <c r="I13" s="35">
        <v>0</v>
      </c>
      <c r="J13" s="35">
        <v>0</v>
      </c>
      <c r="K13" s="44">
        <v>0</v>
      </c>
      <c r="L13" s="44">
        <v>0</v>
      </c>
      <c r="M13" s="33">
        <f t="shared" si="1"/>
        <v>2136636</v>
      </c>
      <c r="N13" s="30"/>
    </row>
    <row r="14" spans="1:14" s="29" customFormat="1" ht="45" customHeight="1">
      <c r="A14" s="30">
        <v>7</v>
      </c>
      <c r="B14" s="30">
        <v>644</v>
      </c>
      <c r="C14" s="43" t="s">
        <v>312</v>
      </c>
      <c r="D14" s="43" t="s">
        <v>313</v>
      </c>
      <c r="E14" s="30" t="s">
        <v>34</v>
      </c>
      <c r="F14" s="164">
        <v>76533</v>
      </c>
      <c r="G14" s="33">
        <f t="shared" si="0"/>
        <v>76533</v>
      </c>
      <c r="H14" s="34">
        <v>43524</v>
      </c>
      <c r="I14" s="35">
        <v>0</v>
      </c>
      <c r="J14" s="35">
        <v>0</v>
      </c>
      <c r="K14" s="44">
        <v>0</v>
      </c>
      <c r="L14" s="44">
        <v>0</v>
      </c>
      <c r="M14" s="33">
        <f t="shared" si="1"/>
        <v>76533</v>
      </c>
      <c r="N14" s="30"/>
    </row>
    <row r="15" spans="1:14" s="73" customFormat="1" ht="43.35" customHeight="1">
      <c r="A15" s="30">
        <v>8</v>
      </c>
      <c r="B15" s="30">
        <v>644</v>
      </c>
      <c r="C15" s="43" t="s">
        <v>314</v>
      </c>
      <c r="D15" s="43" t="s">
        <v>315</v>
      </c>
      <c r="E15" s="30" t="s">
        <v>34</v>
      </c>
      <c r="F15" s="164">
        <v>358851</v>
      </c>
      <c r="G15" s="33">
        <f t="shared" si="0"/>
        <v>358851</v>
      </c>
      <c r="H15" s="34">
        <v>43524</v>
      </c>
      <c r="I15" s="35">
        <v>0</v>
      </c>
      <c r="J15" s="35">
        <v>0</v>
      </c>
      <c r="K15" s="44">
        <v>0</v>
      </c>
      <c r="L15" s="44">
        <v>0</v>
      </c>
      <c r="M15" s="33">
        <f t="shared" si="1"/>
        <v>358851</v>
      </c>
      <c r="N15" s="30"/>
    </row>
    <row r="16" spans="1:14" s="73" customFormat="1" ht="43.35" customHeight="1">
      <c r="A16" s="30">
        <v>9</v>
      </c>
      <c r="B16" s="30">
        <v>644</v>
      </c>
      <c r="C16" s="43" t="s">
        <v>316</v>
      </c>
      <c r="D16" s="43" t="s">
        <v>317</v>
      </c>
      <c r="E16" s="30" t="s">
        <v>34</v>
      </c>
      <c r="F16" s="164">
        <v>157046</v>
      </c>
      <c r="G16" s="33">
        <f t="shared" si="0"/>
        <v>157046</v>
      </c>
      <c r="H16" s="34">
        <v>43524</v>
      </c>
      <c r="I16" s="35">
        <v>0</v>
      </c>
      <c r="J16" s="35">
        <v>0</v>
      </c>
      <c r="K16" s="44">
        <v>0</v>
      </c>
      <c r="L16" s="44">
        <v>0</v>
      </c>
      <c r="M16" s="33">
        <f t="shared" si="1"/>
        <v>157046</v>
      </c>
      <c r="N16" s="43"/>
    </row>
    <row r="17" spans="1:14" s="73" customFormat="1" ht="43.35" customHeight="1">
      <c r="A17" s="30">
        <v>10</v>
      </c>
      <c r="B17" s="30">
        <v>644</v>
      </c>
      <c r="C17" s="43" t="s">
        <v>318</v>
      </c>
      <c r="D17" s="43" t="s">
        <v>319</v>
      </c>
      <c r="E17" s="30" t="s">
        <v>34</v>
      </c>
      <c r="F17" s="176">
        <v>409186</v>
      </c>
      <c r="G17" s="33">
        <f t="shared" si="0"/>
        <v>409186</v>
      </c>
      <c r="H17" s="34">
        <v>43799</v>
      </c>
      <c r="I17" s="35">
        <v>0</v>
      </c>
      <c r="J17" s="35">
        <v>0</v>
      </c>
      <c r="K17" s="44">
        <v>0</v>
      </c>
      <c r="L17" s="44">
        <v>0</v>
      </c>
      <c r="M17" s="33">
        <f t="shared" si="1"/>
        <v>409186</v>
      </c>
      <c r="N17" s="43"/>
    </row>
    <row r="18" spans="1:14" s="73" customFormat="1" ht="45">
      <c r="A18" s="30">
        <v>11</v>
      </c>
      <c r="B18" s="177">
        <v>644</v>
      </c>
      <c r="C18" s="48" t="s">
        <v>320</v>
      </c>
      <c r="D18" s="43" t="s">
        <v>321</v>
      </c>
      <c r="E18" s="30" t="s">
        <v>34</v>
      </c>
      <c r="F18" s="176">
        <v>577436</v>
      </c>
      <c r="G18" s="33">
        <f t="shared" si="0"/>
        <v>577436</v>
      </c>
      <c r="H18" s="34">
        <v>43799</v>
      </c>
      <c r="I18" s="35">
        <v>0</v>
      </c>
      <c r="J18" s="35">
        <v>0</v>
      </c>
      <c r="K18" s="44">
        <v>0</v>
      </c>
      <c r="L18" s="44">
        <v>0</v>
      </c>
      <c r="M18" s="33">
        <f t="shared" si="1"/>
        <v>577436</v>
      </c>
      <c r="N18" s="43"/>
    </row>
    <row r="19" spans="1:14" s="73" customFormat="1" ht="43.35" customHeight="1">
      <c r="A19" s="30">
        <v>12</v>
      </c>
      <c r="B19" s="177">
        <v>644</v>
      </c>
      <c r="C19" s="43" t="s">
        <v>322</v>
      </c>
      <c r="D19" s="43" t="s">
        <v>323</v>
      </c>
      <c r="E19" s="30" t="s">
        <v>34</v>
      </c>
      <c r="F19" s="164">
        <v>185641</v>
      </c>
      <c r="G19" s="33">
        <f t="shared" si="0"/>
        <v>185641</v>
      </c>
      <c r="H19" s="34">
        <v>43799</v>
      </c>
      <c r="I19" s="35">
        <v>0</v>
      </c>
      <c r="J19" s="35">
        <v>0</v>
      </c>
      <c r="K19" s="44">
        <v>0</v>
      </c>
      <c r="L19" s="44">
        <v>0</v>
      </c>
      <c r="M19" s="33">
        <f t="shared" si="1"/>
        <v>185641</v>
      </c>
      <c r="N19" s="43"/>
    </row>
    <row r="20" spans="1:14" s="73" customFormat="1" ht="43.35" customHeight="1">
      <c r="A20" s="30">
        <v>13</v>
      </c>
      <c r="B20" s="177">
        <v>644</v>
      </c>
      <c r="C20" s="43" t="s">
        <v>324</v>
      </c>
      <c r="D20" s="43" t="s">
        <v>325</v>
      </c>
      <c r="E20" s="30" t="s">
        <v>34</v>
      </c>
      <c r="F20" s="176">
        <v>62950</v>
      </c>
      <c r="G20" s="33">
        <f t="shared" si="0"/>
        <v>62950</v>
      </c>
      <c r="H20" s="34">
        <v>43799</v>
      </c>
      <c r="I20" s="35">
        <v>0</v>
      </c>
      <c r="J20" s="35">
        <v>0</v>
      </c>
      <c r="K20" s="44">
        <v>0</v>
      </c>
      <c r="L20" s="44">
        <v>0</v>
      </c>
      <c r="M20" s="33">
        <f t="shared" si="1"/>
        <v>62950</v>
      </c>
      <c r="N20" s="43"/>
    </row>
    <row r="21" spans="1:14" s="73" customFormat="1" ht="43.35" customHeight="1">
      <c r="A21" s="30">
        <v>14</v>
      </c>
      <c r="B21" s="177">
        <v>644</v>
      </c>
      <c r="C21" s="48" t="s">
        <v>326</v>
      </c>
      <c r="D21" s="43" t="s">
        <v>327</v>
      </c>
      <c r="E21" s="58" t="s">
        <v>34</v>
      </c>
      <c r="F21" s="178">
        <v>307732</v>
      </c>
      <c r="G21" s="33">
        <f t="shared" si="0"/>
        <v>307732</v>
      </c>
      <c r="H21" s="34">
        <v>43830</v>
      </c>
      <c r="I21" s="35">
        <v>0</v>
      </c>
      <c r="J21" s="35">
        <v>0</v>
      </c>
      <c r="K21" s="44">
        <v>0</v>
      </c>
      <c r="L21" s="44">
        <v>0</v>
      </c>
      <c r="M21" s="33">
        <f t="shared" si="1"/>
        <v>307732</v>
      </c>
      <c r="N21" s="179"/>
    </row>
    <row r="22" spans="1:14" s="73" customFormat="1" ht="43.35" customHeight="1">
      <c r="A22" s="30">
        <v>15</v>
      </c>
      <c r="B22" s="177">
        <v>644</v>
      </c>
      <c r="C22" s="48" t="s">
        <v>328</v>
      </c>
      <c r="D22" s="43" t="s">
        <v>329</v>
      </c>
      <c r="E22" s="58" t="s">
        <v>34</v>
      </c>
      <c r="F22" s="178">
        <v>583718</v>
      </c>
      <c r="G22" s="33">
        <f t="shared" si="0"/>
        <v>583718</v>
      </c>
      <c r="H22" s="34">
        <v>43830</v>
      </c>
      <c r="I22" s="35">
        <v>0</v>
      </c>
      <c r="J22" s="35">
        <v>0</v>
      </c>
      <c r="K22" s="44">
        <v>0</v>
      </c>
      <c r="L22" s="44">
        <v>0</v>
      </c>
      <c r="M22" s="33">
        <f t="shared" si="1"/>
        <v>583718</v>
      </c>
      <c r="N22" s="179"/>
    </row>
    <row r="23" spans="1:14" s="73" customFormat="1" ht="43.35" customHeight="1">
      <c r="A23" s="30">
        <v>16</v>
      </c>
      <c r="B23" s="177">
        <v>644</v>
      </c>
      <c r="C23" s="48" t="s">
        <v>330</v>
      </c>
      <c r="D23" s="43" t="s">
        <v>331</v>
      </c>
      <c r="E23" s="58" t="s">
        <v>34</v>
      </c>
      <c r="F23" s="178">
        <v>98474</v>
      </c>
      <c r="G23" s="33">
        <f t="shared" si="0"/>
        <v>98474</v>
      </c>
      <c r="H23" s="34">
        <v>43830</v>
      </c>
      <c r="I23" s="35">
        <v>0</v>
      </c>
      <c r="J23" s="35">
        <v>0</v>
      </c>
      <c r="K23" s="44">
        <v>0</v>
      </c>
      <c r="L23" s="44">
        <v>0</v>
      </c>
      <c r="M23" s="33">
        <f t="shared" si="1"/>
        <v>98474</v>
      </c>
      <c r="N23" s="179"/>
    </row>
    <row r="24" spans="1:14" s="73" customFormat="1" ht="43.35" customHeight="1">
      <c r="A24" s="30">
        <v>17</v>
      </c>
      <c r="B24" s="177">
        <v>644</v>
      </c>
      <c r="C24" s="48" t="s">
        <v>332</v>
      </c>
      <c r="D24" s="43" t="s">
        <v>333</v>
      </c>
      <c r="E24" s="58" t="s">
        <v>34</v>
      </c>
      <c r="F24" s="178">
        <v>160020</v>
      </c>
      <c r="G24" s="33">
        <f t="shared" si="0"/>
        <v>160020</v>
      </c>
      <c r="H24" s="34">
        <v>43830</v>
      </c>
      <c r="I24" s="35">
        <v>0</v>
      </c>
      <c r="J24" s="35">
        <v>0</v>
      </c>
      <c r="K24" s="44">
        <v>0</v>
      </c>
      <c r="L24" s="44">
        <v>0</v>
      </c>
      <c r="M24" s="33">
        <f t="shared" si="1"/>
        <v>160020</v>
      </c>
      <c r="N24" s="179"/>
    </row>
    <row r="25" spans="1:14" s="73" customFormat="1" ht="43.35" customHeight="1">
      <c r="A25" s="30">
        <v>18</v>
      </c>
      <c r="B25" s="177">
        <v>644</v>
      </c>
      <c r="C25" s="48" t="s">
        <v>334</v>
      </c>
      <c r="D25" s="43" t="s">
        <v>335</v>
      </c>
      <c r="E25" s="58" t="s">
        <v>34</v>
      </c>
      <c r="F25" s="178">
        <v>148313</v>
      </c>
      <c r="G25" s="33">
        <f t="shared" si="0"/>
        <v>148313</v>
      </c>
      <c r="H25" s="34">
        <v>43861</v>
      </c>
      <c r="I25" s="35">
        <v>0</v>
      </c>
      <c r="J25" s="35">
        <v>0</v>
      </c>
      <c r="K25" s="44">
        <v>0</v>
      </c>
      <c r="L25" s="44">
        <v>0</v>
      </c>
      <c r="M25" s="33">
        <f t="shared" si="1"/>
        <v>148313</v>
      </c>
      <c r="N25" s="179"/>
    </row>
    <row r="26" spans="1:14" s="73" customFormat="1" ht="43.35" customHeight="1">
      <c r="A26" s="30">
        <v>19</v>
      </c>
      <c r="B26" s="177">
        <v>644</v>
      </c>
      <c r="C26" s="48" t="s">
        <v>336</v>
      </c>
      <c r="D26" s="43" t="s">
        <v>337</v>
      </c>
      <c r="E26" s="58" t="s">
        <v>34</v>
      </c>
      <c r="F26" s="178">
        <v>1496373</v>
      </c>
      <c r="G26" s="33">
        <f t="shared" si="0"/>
        <v>1496373</v>
      </c>
      <c r="H26" s="34">
        <v>43861</v>
      </c>
      <c r="I26" s="35">
        <v>0</v>
      </c>
      <c r="J26" s="35">
        <v>0</v>
      </c>
      <c r="K26" s="44">
        <v>0</v>
      </c>
      <c r="L26" s="44">
        <v>0</v>
      </c>
      <c r="M26" s="33">
        <f t="shared" si="1"/>
        <v>1496373</v>
      </c>
      <c r="N26" s="179"/>
    </row>
    <row r="27" spans="1:14" s="73" customFormat="1" ht="43.35" customHeight="1">
      <c r="A27" s="30">
        <v>20</v>
      </c>
      <c r="B27" s="177">
        <v>644</v>
      </c>
      <c r="C27" s="48" t="s">
        <v>338</v>
      </c>
      <c r="D27" s="43" t="s">
        <v>339</v>
      </c>
      <c r="E27" s="58" t="s">
        <v>34</v>
      </c>
      <c r="F27" s="178">
        <v>243329</v>
      </c>
      <c r="G27" s="33">
        <f t="shared" si="0"/>
        <v>243329</v>
      </c>
      <c r="H27" s="34">
        <v>43861</v>
      </c>
      <c r="I27" s="35">
        <v>0</v>
      </c>
      <c r="J27" s="35">
        <v>0</v>
      </c>
      <c r="K27" s="44">
        <v>0</v>
      </c>
      <c r="L27" s="44">
        <v>0</v>
      </c>
      <c r="M27" s="33">
        <f t="shared" si="1"/>
        <v>243329</v>
      </c>
      <c r="N27" s="179"/>
    </row>
    <row r="28" spans="1:14" s="73" customFormat="1" ht="43.35" customHeight="1">
      <c r="A28" s="30">
        <v>21</v>
      </c>
      <c r="B28" s="177">
        <v>644</v>
      </c>
      <c r="C28" s="48" t="s">
        <v>340</v>
      </c>
      <c r="D28" s="43" t="s">
        <v>341</v>
      </c>
      <c r="E28" s="58" t="s">
        <v>34</v>
      </c>
      <c r="F28" s="178">
        <v>190113</v>
      </c>
      <c r="G28" s="33">
        <f t="shared" si="0"/>
        <v>190113</v>
      </c>
      <c r="H28" s="180">
        <v>43890</v>
      </c>
      <c r="I28" s="35">
        <v>0</v>
      </c>
      <c r="J28" s="35">
        <v>0</v>
      </c>
      <c r="K28" s="44">
        <v>0</v>
      </c>
      <c r="L28" s="44">
        <v>0</v>
      </c>
      <c r="M28" s="33">
        <f t="shared" si="1"/>
        <v>190113</v>
      </c>
      <c r="N28" s="179"/>
    </row>
    <row r="29" spans="1:14" s="73" customFormat="1" ht="43.35" customHeight="1">
      <c r="A29" s="30">
        <v>22</v>
      </c>
      <c r="B29" s="177">
        <v>644</v>
      </c>
      <c r="C29" s="48" t="s">
        <v>342</v>
      </c>
      <c r="D29" s="43" t="s">
        <v>337</v>
      </c>
      <c r="E29" s="58" t="s">
        <v>34</v>
      </c>
      <c r="F29" s="178">
        <v>1105403</v>
      </c>
      <c r="G29" s="33">
        <f t="shared" si="0"/>
        <v>1105403</v>
      </c>
      <c r="H29" s="180">
        <v>43890</v>
      </c>
      <c r="I29" s="35">
        <v>0</v>
      </c>
      <c r="J29" s="35">
        <v>0</v>
      </c>
      <c r="K29" s="44">
        <v>0</v>
      </c>
      <c r="L29" s="44">
        <v>0</v>
      </c>
      <c r="M29" s="33">
        <f t="shared" si="1"/>
        <v>1105403</v>
      </c>
      <c r="N29" s="179"/>
    </row>
    <row r="30" spans="1:14" s="73" customFormat="1" ht="43.35" customHeight="1">
      <c r="A30" s="30">
        <v>23</v>
      </c>
      <c r="B30" s="177">
        <v>644</v>
      </c>
      <c r="C30" s="48" t="s">
        <v>343</v>
      </c>
      <c r="D30" s="43" t="s">
        <v>344</v>
      </c>
      <c r="E30" s="58" t="s">
        <v>34</v>
      </c>
      <c r="F30" s="176">
        <v>483955</v>
      </c>
      <c r="G30" s="33">
        <f t="shared" si="0"/>
        <v>483955</v>
      </c>
      <c r="H30" s="180">
        <v>43890</v>
      </c>
      <c r="I30" s="35">
        <v>0</v>
      </c>
      <c r="J30" s="35">
        <v>0</v>
      </c>
      <c r="K30" s="44">
        <v>0</v>
      </c>
      <c r="L30" s="44">
        <v>0</v>
      </c>
      <c r="M30" s="33">
        <f t="shared" si="1"/>
        <v>483955</v>
      </c>
      <c r="N30" s="179"/>
    </row>
    <row r="31" spans="1:14" s="22" customFormat="1" ht="15.75" thickBot="1">
      <c r="A31" s="64"/>
      <c r="B31" s="165"/>
      <c r="C31" s="166"/>
      <c r="D31" s="73"/>
      <c r="E31" s="167"/>
      <c r="F31" s="168"/>
      <c r="H31" s="70"/>
      <c r="I31" s="169"/>
      <c r="J31" s="170"/>
      <c r="M31" s="171"/>
      <c r="N31" s="70"/>
    </row>
    <row r="32" spans="1:14" s="22" customFormat="1" ht="43.35" customHeight="1" thickBot="1">
      <c r="B32" s="64"/>
      <c r="C32" s="65"/>
      <c r="D32" s="65"/>
      <c r="E32" s="172" t="s">
        <v>54</v>
      </c>
      <c r="F32" s="67">
        <f>SUM(F8:F30)</f>
        <v>12100000</v>
      </c>
      <c r="G32" s="68">
        <f>SUM(G8:G30)</f>
        <v>12100000</v>
      </c>
      <c r="H32" s="173"/>
      <c r="K32" s="67">
        <f>SUM(K8:K30)</f>
        <v>0</v>
      </c>
      <c r="L32" s="68">
        <f>SUM(L8:L30)</f>
        <v>0</v>
      </c>
      <c r="M32" s="71">
        <f t="shared" si="1"/>
        <v>12100000</v>
      </c>
      <c r="N32" s="173"/>
    </row>
    <row r="33" spans="1:14" s="22" customFormat="1" ht="15.75">
      <c r="B33" s="64"/>
      <c r="C33" s="174"/>
      <c r="D33" s="174"/>
      <c r="E33" s="174"/>
      <c r="F33" s="174"/>
      <c r="G33" s="174"/>
      <c r="H33" s="174"/>
      <c r="I33" s="174"/>
      <c r="J33" s="174"/>
      <c r="K33" s="174"/>
    </row>
    <row r="34" spans="1:14" s="22" customFormat="1">
      <c r="B34" s="64"/>
      <c r="C34" s="175"/>
      <c r="D34" s="175"/>
      <c r="E34" s="175"/>
      <c r="F34" s="175"/>
      <c r="G34" s="175"/>
      <c r="H34" s="175"/>
      <c r="I34" s="175"/>
      <c r="J34" s="175"/>
    </row>
    <row r="35" spans="1:14" s="22" customFormat="1">
      <c r="B35" s="64"/>
      <c r="C35" s="175"/>
      <c r="D35" s="175"/>
      <c r="E35" s="175"/>
      <c r="F35" s="175"/>
      <c r="G35" s="175"/>
      <c r="H35" s="175"/>
      <c r="I35" s="175"/>
      <c r="J35" s="175"/>
    </row>
    <row r="36" spans="1:14" s="22" customFormat="1">
      <c r="B36" s="64"/>
      <c r="C36" s="65"/>
      <c r="D36" s="65"/>
      <c r="E36" s="65"/>
      <c r="F36" s="65"/>
      <c r="G36" s="65"/>
      <c r="H36" s="65"/>
      <c r="I36" s="65"/>
      <c r="J36" s="65"/>
    </row>
    <row r="37" spans="1:14" s="22" customFormat="1">
      <c r="C37" s="175"/>
      <c r="D37" s="175"/>
      <c r="E37" s="175"/>
      <c r="F37" s="175"/>
      <c r="G37" s="175"/>
      <c r="H37" s="175"/>
      <c r="I37" s="175"/>
      <c r="J37" s="175"/>
    </row>
    <row r="38" spans="1:14" s="22" customFormat="1">
      <c r="C38" s="65"/>
      <c r="D38" s="65"/>
      <c r="E38" s="65"/>
      <c r="F38" s="65"/>
      <c r="G38" s="65"/>
      <c r="H38" s="65"/>
      <c r="I38" s="65"/>
      <c r="J38" s="65"/>
    </row>
    <row r="39" spans="1:14" s="22" customFormat="1">
      <c r="C39" s="65"/>
      <c r="D39" s="65"/>
      <c r="E39" s="65"/>
      <c r="F39" s="65"/>
      <c r="G39" s="65"/>
      <c r="H39" s="65"/>
      <c r="I39" s="65"/>
      <c r="J39" s="65"/>
    </row>
    <row r="40" spans="1:14">
      <c r="A40" s="22"/>
      <c r="B40" s="22"/>
      <c r="C40" s="65"/>
      <c r="D40" s="65"/>
      <c r="E40" s="65"/>
      <c r="F40" s="65"/>
      <c r="G40" s="65"/>
      <c r="H40" s="65"/>
      <c r="I40" s="65"/>
      <c r="J40" s="65"/>
      <c r="K40" s="22"/>
      <c r="L40" s="22"/>
      <c r="M40" s="22"/>
      <c r="N40" s="22"/>
    </row>
    <row r="41" spans="1:14">
      <c r="A41" s="22"/>
      <c r="B41" s="22"/>
      <c r="C41" s="65"/>
      <c r="D41" s="65"/>
      <c r="E41" s="65"/>
      <c r="F41" s="65"/>
      <c r="G41" s="65"/>
      <c r="H41" s="65"/>
      <c r="I41" s="65"/>
      <c r="J41" s="65"/>
      <c r="K41" s="22"/>
      <c r="L41" s="22"/>
      <c r="M41" s="22"/>
      <c r="N41" s="22"/>
    </row>
    <row r="42" spans="1:14">
      <c r="A42" s="22"/>
      <c r="B42" s="22"/>
      <c r="C42" s="65"/>
      <c r="D42" s="65"/>
      <c r="E42" s="65"/>
      <c r="F42" s="65"/>
      <c r="G42" s="65"/>
      <c r="H42" s="65"/>
      <c r="I42" s="65"/>
      <c r="J42" s="65"/>
      <c r="K42" s="22"/>
      <c r="L42" s="22"/>
      <c r="M42" s="22"/>
      <c r="N42" s="22"/>
    </row>
    <row r="43" spans="1:14">
      <c r="A43" s="22"/>
      <c r="B43" s="22"/>
      <c r="C43" s="65"/>
      <c r="D43" s="65"/>
      <c r="E43" s="65"/>
      <c r="F43" s="65"/>
      <c r="G43" s="65"/>
      <c r="H43" s="65"/>
      <c r="I43" s="65"/>
      <c r="J43" s="65"/>
      <c r="K43" s="22"/>
      <c r="L43" s="22"/>
      <c r="M43" s="22"/>
      <c r="N43" s="22"/>
    </row>
    <row r="44" spans="1:14">
      <c r="A44" s="22"/>
      <c r="B44" s="22"/>
      <c r="C44" s="22"/>
      <c r="D44" s="22"/>
      <c r="E44" s="22"/>
      <c r="F44" s="22"/>
      <c r="G44" s="22"/>
      <c r="H44" s="22"/>
      <c r="I44" s="22"/>
      <c r="J44" s="22"/>
      <c r="K44" s="22"/>
      <c r="L44" s="22"/>
      <c r="M44" s="22"/>
      <c r="N44" s="22"/>
    </row>
    <row r="45" spans="1:14">
      <c r="A45" s="22"/>
      <c r="B45" s="22"/>
      <c r="C45" s="22"/>
      <c r="D45" s="22"/>
      <c r="E45" s="22"/>
      <c r="F45" s="22"/>
      <c r="G45" s="22"/>
      <c r="H45" s="22"/>
      <c r="I45" s="22"/>
      <c r="J45" s="22"/>
      <c r="K45" s="22"/>
      <c r="L45" s="22"/>
      <c r="M45" s="22"/>
      <c r="N45" s="22"/>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A16" workbookViewId="0">
      <selection activeCell="A6" sqref="A6:XFD19"/>
    </sheetView>
  </sheetViews>
  <sheetFormatPr defaultRowHeight="15"/>
  <cols>
    <col min="1" max="1" width="8.28515625" customWidth="1"/>
    <col min="3" max="3" width="21.42578125" customWidth="1"/>
    <col min="4" max="4" width="38.85546875" customWidth="1"/>
    <col min="5" max="5" width="12.42578125" customWidth="1"/>
    <col min="8" max="8" width="14.42578125" customWidth="1"/>
    <col min="9" max="9" width="15.7109375" customWidth="1"/>
    <col min="10" max="10" width="16" customWidth="1"/>
    <col min="11" max="11" width="12.5703125" customWidth="1"/>
    <col min="12" max="12" width="12.140625" customWidth="1"/>
    <col min="15" max="15" width="13" customWidth="1"/>
    <col min="16" max="16" width="7.140625" customWidth="1"/>
  </cols>
  <sheetData>
    <row r="1" spans="1:16">
      <c r="A1" s="209"/>
      <c r="B1" s="210" t="s">
        <v>17</v>
      </c>
      <c r="C1" s="481" t="s">
        <v>439</v>
      </c>
      <c r="D1" s="481"/>
      <c r="E1" s="211"/>
      <c r="F1" s="211"/>
      <c r="G1" s="212"/>
      <c r="H1" s="213"/>
      <c r="I1" s="214"/>
      <c r="J1" s="214"/>
      <c r="K1" s="214"/>
      <c r="L1" s="214"/>
      <c r="M1" s="214"/>
      <c r="N1" s="214"/>
      <c r="O1" s="214"/>
      <c r="P1" s="215"/>
    </row>
    <row r="2" spans="1:16" ht="15.75">
      <c r="A2" s="209"/>
      <c r="B2" s="210" t="s">
        <v>19</v>
      </c>
      <c r="C2" s="482">
        <v>42991</v>
      </c>
      <c r="D2" s="482"/>
      <c r="E2" s="216"/>
      <c r="F2" s="216"/>
      <c r="G2" s="217"/>
      <c r="H2" s="213"/>
      <c r="I2" s="214"/>
      <c r="J2" s="214"/>
      <c r="K2" s="214"/>
      <c r="L2" s="214"/>
      <c r="M2" s="214"/>
      <c r="N2" s="214"/>
      <c r="O2" s="25">
        <v>42968</v>
      </c>
      <c r="P2" s="215"/>
    </row>
    <row r="3" spans="1:16" ht="25.5">
      <c r="A3" s="209"/>
      <c r="B3" s="210" t="s">
        <v>20</v>
      </c>
      <c r="C3" s="481" t="s">
        <v>440</v>
      </c>
      <c r="D3" s="481"/>
      <c r="E3" s="211"/>
      <c r="F3" s="211"/>
      <c r="G3" s="212"/>
      <c r="H3" s="213"/>
      <c r="I3" s="214"/>
      <c r="J3" s="214"/>
      <c r="K3" s="214"/>
      <c r="L3" s="214"/>
      <c r="M3" s="214"/>
      <c r="N3" s="214"/>
      <c r="O3" s="214"/>
      <c r="P3" s="215"/>
    </row>
    <row r="4" spans="1:16" ht="15.75" thickBot="1">
      <c r="A4" s="209"/>
      <c r="B4" s="218"/>
      <c r="C4" s="219"/>
      <c r="D4" s="209"/>
      <c r="E4" s="220"/>
      <c r="F4" s="220"/>
      <c r="G4" s="209"/>
      <c r="H4" s="213"/>
      <c r="I4" s="214"/>
      <c r="J4" s="214"/>
      <c r="K4" s="214"/>
      <c r="L4" s="214"/>
      <c r="M4" s="214"/>
      <c r="N4" s="214"/>
      <c r="O4" s="214"/>
      <c r="P4" s="215"/>
    </row>
    <row r="5" spans="1:16" ht="51.75">
      <c r="A5" s="221" t="s">
        <v>57</v>
      </c>
      <c r="B5" s="222" t="s">
        <v>22</v>
      </c>
      <c r="C5" s="222" t="s">
        <v>23</v>
      </c>
      <c r="D5" s="222" t="s">
        <v>24</v>
      </c>
      <c r="E5" s="223" t="s">
        <v>441</v>
      </c>
      <c r="F5" s="223" t="s">
        <v>442</v>
      </c>
      <c r="G5" s="222" t="s">
        <v>25</v>
      </c>
      <c r="H5" s="224" t="s">
        <v>15</v>
      </c>
      <c r="I5" s="225" t="s">
        <v>443</v>
      </c>
      <c r="J5" s="225" t="s">
        <v>26</v>
      </c>
      <c r="K5" s="226" t="s">
        <v>27</v>
      </c>
      <c r="L5" s="227" t="s">
        <v>28</v>
      </c>
      <c r="M5" s="228" t="s">
        <v>13</v>
      </c>
      <c r="N5" s="228" t="s">
        <v>444</v>
      </c>
      <c r="O5" s="225" t="s">
        <v>9</v>
      </c>
      <c r="P5" s="229" t="s">
        <v>31</v>
      </c>
    </row>
    <row r="6" spans="1:16" s="29" customFormat="1" ht="76.5">
      <c r="A6" s="230">
        <v>1</v>
      </c>
      <c r="B6" s="231" t="s">
        <v>445</v>
      </c>
      <c r="C6" s="232" t="s">
        <v>446</v>
      </c>
      <c r="D6" s="233" t="s">
        <v>447</v>
      </c>
      <c r="E6" s="234"/>
      <c r="F6" s="234"/>
      <c r="G6" s="235" t="s">
        <v>448</v>
      </c>
      <c r="H6" s="236">
        <v>750000</v>
      </c>
      <c r="I6" s="236">
        <v>750000</v>
      </c>
      <c r="J6" s="256"/>
      <c r="K6" s="256"/>
      <c r="L6" s="256"/>
      <c r="M6" s="256"/>
      <c r="N6" s="256"/>
      <c r="O6" s="257">
        <f t="shared" ref="O6:O20" si="0">H6-M6-N6</f>
        <v>750000</v>
      </c>
      <c r="P6" s="258" t="s">
        <v>35</v>
      </c>
    </row>
    <row r="7" spans="1:16" s="29" customFormat="1" ht="114.75">
      <c r="A7" s="230">
        <f t="shared" ref="A7:A19" ca="1" si="1">OFFSET(A7,-1,0)+1</f>
        <v>2</v>
      </c>
      <c r="B7" s="240" t="s">
        <v>449</v>
      </c>
      <c r="C7" s="241" t="s">
        <v>450</v>
      </c>
      <c r="D7" s="242" t="s">
        <v>451</v>
      </c>
      <c r="E7" s="234" t="s">
        <v>452</v>
      </c>
      <c r="F7" s="234" t="s">
        <v>452</v>
      </c>
      <c r="G7" s="235" t="s">
        <v>453</v>
      </c>
      <c r="H7" s="236">
        <v>1700000</v>
      </c>
      <c r="I7" s="236">
        <v>1700000</v>
      </c>
      <c r="J7" s="259">
        <v>43708</v>
      </c>
      <c r="K7" s="256"/>
      <c r="L7" s="256"/>
      <c r="M7" s="256"/>
      <c r="N7" s="256"/>
      <c r="O7" s="257">
        <f t="shared" si="0"/>
        <v>1700000</v>
      </c>
      <c r="P7" s="258" t="s">
        <v>35</v>
      </c>
    </row>
    <row r="8" spans="1:16" s="29" customFormat="1" ht="63.75">
      <c r="A8" s="230">
        <f t="shared" ca="1" si="1"/>
        <v>3</v>
      </c>
      <c r="B8" s="231" t="s">
        <v>454</v>
      </c>
      <c r="C8" s="243" t="s">
        <v>455</v>
      </c>
      <c r="D8" s="243" t="s">
        <v>456</v>
      </c>
      <c r="E8" s="234"/>
      <c r="F8" s="234"/>
      <c r="G8" s="235" t="s">
        <v>453</v>
      </c>
      <c r="H8" s="236">
        <v>1300000</v>
      </c>
      <c r="I8" s="236">
        <v>1300000</v>
      </c>
      <c r="J8" s="259">
        <v>43708</v>
      </c>
      <c r="K8" s="256"/>
      <c r="L8" s="256"/>
      <c r="M8" s="256"/>
      <c r="N8" s="256"/>
      <c r="O8" s="257">
        <f t="shared" si="0"/>
        <v>1300000</v>
      </c>
      <c r="P8" s="258" t="s">
        <v>35</v>
      </c>
    </row>
    <row r="9" spans="1:16" s="29" customFormat="1" ht="89.25">
      <c r="A9" s="230">
        <f t="shared" ca="1" si="1"/>
        <v>4</v>
      </c>
      <c r="B9" s="244" t="s">
        <v>457</v>
      </c>
      <c r="C9" s="245" t="s">
        <v>458</v>
      </c>
      <c r="D9" s="245" t="s">
        <v>459</v>
      </c>
      <c r="E9" s="234"/>
      <c r="F9" s="234"/>
      <c r="G9" s="235" t="s">
        <v>453</v>
      </c>
      <c r="H9" s="236">
        <v>1000000</v>
      </c>
      <c r="I9" s="236">
        <v>1000000</v>
      </c>
      <c r="J9" s="259">
        <v>43708</v>
      </c>
      <c r="K9" s="256"/>
      <c r="L9" s="256"/>
      <c r="M9" s="256"/>
      <c r="N9" s="256"/>
      <c r="O9" s="257">
        <f t="shared" si="0"/>
        <v>1000000</v>
      </c>
      <c r="P9" s="258" t="s">
        <v>35</v>
      </c>
    </row>
    <row r="10" spans="1:16" s="29" customFormat="1" ht="63.75">
      <c r="A10" s="230">
        <f t="shared" ca="1" si="1"/>
        <v>5</v>
      </c>
      <c r="B10" s="240" t="s">
        <v>460</v>
      </c>
      <c r="C10" s="232" t="s">
        <v>461</v>
      </c>
      <c r="D10" s="242" t="s">
        <v>462</v>
      </c>
      <c r="E10" s="234"/>
      <c r="F10" s="234"/>
      <c r="G10" s="235" t="s">
        <v>453</v>
      </c>
      <c r="H10" s="236">
        <v>1000000</v>
      </c>
      <c r="I10" s="236">
        <v>1000000</v>
      </c>
      <c r="J10" s="259">
        <v>43708</v>
      </c>
      <c r="K10" s="256"/>
      <c r="L10" s="256"/>
      <c r="M10" s="256"/>
      <c r="N10" s="256"/>
      <c r="O10" s="257">
        <f t="shared" si="0"/>
        <v>1000000</v>
      </c>
      <c r="P10" s="258" t="s">
        <v>35</v>
      </c>
    </row>
    <row r="11" spans="1:16" s="29" customFormat="1" ht="38.25">
      <c r="A11" s="230">
        <f t="shared" ca="1" si="1"/>
        <v>6</v>
      </c>
      <c r="B11" s="240" t="s">
        <v>463</v>
      </c>
      <c r="C11" s="232" t="s">
        <v>464</v>
      </c>
      <c r="D11" s="233" t="s">
        <v>465</v>
      </c>
      <c r="E11" s="234"/>
      <c r="F11" s="234"/>
      <c r="G11" s="235" t="s">
        <v>453</v>
      </c>
      <c r="H11" s="236">
        <v>450000</v>
      </c>
      <c r="I11" s="236">
        <v>450000</v>
      </c>
      <c r="J11" s="259">
        <v>43708</v>
      </c>
      <c r="K11" s="256"/>
      <c r="L11" s="256"/>
      <c r="M11" s="256"/>
      <c r="N11" s="256"/>
      <c r="O11" s="257">
        <f t="shared" si="0"/>
        <v>450000</v>
      </c>
      <c r="P11" s="258" t="s">
        <v>35</v>
      </c>
    </row>
    <row r="12" spans="1:16" s="29" customFormat="1" ht="38.25">
      <c r="A12" s="230">
        <f t="shared" ca="1" si="1"/>
        <v>7</v>
      </c>
      <c r="B12" s="242" t="s">
        <v>466</v>
      </c>
      <c r="C12" s="241" t="s">
        <v>467</v>
      </c>
      <c r="D12" s="242" t="s">
        <v>468</v>
      </c>
      <c r="E12" s="234" t="s">
        <v>469</v>
      </c>
      <c r="F12" s="234" t="s">
        <v>469</v>
      </c>
      <c r="G12" s="235" t="s">
        <v>453</v>
      </c>
      <c r="H12" s="236">
        <v>300000</v>
      </c>
      <c r="I12" s="236">
        <v>300000</v>
      </c>
      <c r="J12" s="259">
        <v>43708</v>
      </c>
      <c r="K12" s="256"/>
      <c r="L12" s="256"/>
      <c r="M12" s="256"/>
      <c r="N12" s="256"/>
      <c r="O12" s="257">
        <f t="shared" si="0"/>
        <v>300000</v>
      </c>
      <c r="P12" s="258" t="s">
        <v>35</v>
      </c>
    </row>
    <row r="13" spans="1:16" s="29" customFormat="1" ht="63.75">
      <c r="A13" s="230">
        <f t="shared" ca="1" si="1"/>
        <v>8</v>
      </c>
      <c r="B13" s="242" t="s">
        <v>470</v>
      </c>
      <c r="C13" s="246" t="s">
        <v>471</v>
      </c>
      <c r="D13" s="242" t="s">
        <v>472</v>
      </c>
      <c r="E13" s="234"/>
      <c r="F13" s="234"/>
      <c r="G13" s="235" t="s">
        <v>453</v>
      </c>
      <c r="H13" s="236">
        <v>2950000</v>
      </c>
      <c r="I13" s="236">
        <v>2950000</v>
      </c>
      <c r="J13" s="259">
        <v>43708</v>
      </c>
      <c r="K13" s="256"/>
      <c r="L13" s="256"/>
      <c r="M13" s="256"/>
      <c r="N13" s="256"/>
      <c r="O13" s="257">
        <f t="shared" si="0"/>
        <v>2950000</v>
      </c>
      <c r="P13" s="258" t="s">
        <v>35</v>
      </c>
    </row>
    <row r="14" spans="1:16" s="29" customFormat="1" ht="51">
      <c r="A14" s="230">
        <f t="shared" ca="1" si="1"/>
        <v>9</v>
      </c>
      <c r="B14" s="242" t="s">
        <v>473</v>
      </c>
      <c r="C14" s="246" t="s">
        <v>474</v>
      </c>
      <c r="D14" s="246" t="s">
        <v>475</v>
      </c>
      <c r="E14" s="246"/>
      <c r="F14" s="246"/>
      <c r="G14" s="235" t="s">
        <v>453</v>
      </c>
      <c r="H14" s="236">
        <v>275000</v>
      </c>
      <c r="I14" s="236">
        <v>275000</v>
      </c>
      <c r="J14" s="259">
        <v>43343</v>
      </c>
      <c r="K14" s="256"/>
      <c r="L14" s="256"/>
      <c r="M14" s="256"/>
      <c r="N14" s="256"/>
      <c r="O14" s="257">
        <f t="shared" si="0"/>
        <v>275000</v>
      </c>
      <c r="P14" s="258" t="s">
        <v>35</v>
      </c>
    </row>
    <row r="15" spans="1:16" s="29" customFormat="1" ht="102">
      <c r="A15" s="230">
        <f t="shared" ca="1" si="1"/>
        <v>10</v>
      </c>
      <c r="B15" s="247" t="s">
        <v>476</v>
      </c>
      <c r="C15" s="246" t="s">
        <v>477</v>
      </c>
      <c r="D15" s="246" t="s">
        <v>478</v>
      </c>
      <c r="E15" s="246"/>
      <c r="F15" s="246"/>
      <c r="G15" s="235" t="s">
        <v>453</v>
      </c>
      <c r="H15" s="236">
        <v>275000</v>
      </c>
      <c r="I15" s="236">
        <v>275000</v>
      </c>
      <c r="J15" s="259">
        <v>43343</v>
      </c>
      <c r="K15" s="256"/>
      <c r="L15" s="256"/>
      <c r="M15" s="256"/>
      <c r="N15" s="256"/>
      <c r="O15" s="257">
        <f t="shared" si="0"/>
        <v>275000</v>
      </c>
      <c r="P15" s="258" t="s">
        <v>35</v>
      </c>
    </row>
    <row r="16" spans="1:16" s="29" customFormat="1" ht="76.5">
      <c r="A16" s="230">
        <f t="shared" ca="1" si="1"/>
        <v>11</v>
      </c>
      <c r="B16" s="247" t="s">
        <v>479</v>
      </c>
      <c r="C16" s="246" t="s">
        <v>480</v>
      </c>
      <c r="D16" s="232" t="s">
        <v>481</v>
      </c>
      <c r="E16" s="246"/>
      <c r="F16" s="246"/>
      <c r="G16" s="235" t="s">
        <v>453</v>
      </c>
      <c r="H16" s="236">
        <v>375000</v>
      </c>
      <c r="I16" s="236">
        <v>375000</v>
      </c>
      <c r="J16" s="259">
        <v>43343</v>
      </c>
      <c r="K16" s="256"/>
      <c r="L16" s="256"/>
      <c r="M16" s="256"/>
      <c r="N16" s="256"/>
      <c r="O16" s="257">
        <f t="shared" si="0"/>
        <v>375000</v>
      </c>
      <c r="P16" s="258" t="s">
        <v>35</v>
      </c>
    </row>
    <row r="17" spans="1:16" s="29" customFormat="1" ht="76.5">
      <c r="A17" s="230">
        <f t="shared" ca="1" si="1"/>
        <v>12</v>
      </c>
      <c r="B17" s="247" t="s">
        <v>482</v>
      </c>
      <c r="C17" s="245" t="s">
        <v>483</v>
      </c>
      <c r="D17" s="245" t="s">
        <v>484</v>
      </c>
      <c r="E17" s="234"/>
      <c r="F17" s="234"/>
      <c r="G17" s="235" t="s">
        <v>453</v>
      </c>
      <c r="H17" s="248">
        <v>150000</v>
      </c>
      <c r="I17" s="248">
        <v>150000</v>
      </c>
      <c r="J17" s="259">
        <v>43343</v>
      </c>
      <c r="K17" s="256"/>
      <c r="L17" s="256"/>
      <c r="M17" s="256"/>
      <c r="N17" s="256"/>
      <c r="O17" s="257">
        <f t="shared" si="0"/>
        <v>150000</v>
      </c>
      <c r="P17" s="258" t="s">
        <v>35</v>
      </c>
    </row>
    <row r="18" spans="1:16" s="29" customFormat="1" ht="76.5">
      <c r="A18" s="230">
        <f t="shared" ca="1" si="1"/>
        <v>13</v>
      </c>
      <c r="B18" s="247" t="s">
        <v>485</v>
      </c>
      <c r="C18" s="245" t="s">
        <v>486</v>
      </c>
      <c r="D18" s="245" t="s">
        <v>487</v>
      </c>
      <c r="E18" s="234"/>
      <c r="F18" s="234"/>
      <c r="G18" s="235" t="s">
        <v>453</v>
      </c>
      <c r="H18" s="248">
        <v>100000</v>
      </c>
      <c r="I18" s="248">
        <v>100000</v>
      </c>
      <c r="J18" s="259">
        <v>43343</v>
      </c>
      <c r="K18" s="256"/>
      <c r="L18" s="256"/>
      <c r="M18" s="256"/>
      <c r="N18" s="256"/>
      <c r="O18" s="257">
        <f t="shared" si="0"/>
        <v>100000</v>
      </c>
      <c r="P18" s="258" t="s">
        <v>35</v>
      </c>
    </row>
    <row r="19" spans="1:16" s="29" customFormat="1" ht="51.75" thickBot="1">
      <c r="A19" s="230">
        <f t="shared" ca="1" si="1"/>
        <v>14</v>
      </c>
      <c r="B19" s="247" t="s">
        <v>488</v>
      </c>
      <c r="C19" s="241" t="s">
        <v>489</v>
      </c>
      <c r="D19" s="242" t="s">
        <v>490</v>
      </c>
      <c r="E19" s="234" t="s">
        <v>452</v>
      </c>
      <c r="F19" s="234" t="s">
        <v>452</v>
      </c>
      <c r="G19" s="235" t="s">
        <v>453</v>
      </c>
      <c r="H19" s="249">
        <v>1375000</v>
      </c>
      <c r="I19" s="249">
        <v>1375000</v>
      </c>
      <c r="J19" s="259">
        <v>43708</v>
      </c>
      <c r="K19" s="256"/>
      <c r="L19" s="256"/>
      <c r="M19" s="256"/>
      <c r="N19" s="256"/>
      <c r="O19" s="257">
        <f t="shared" si="0"/>
        <v>1375000</v>
      </c>
      <c r="P19" s="258" t="s">
        <v>35</v>
      </c>
    </row>
    <row r="20" spans="1:16" ht="15.75" thickBot="1">
      <c r="A20" s="250"/>
      <c r="B20" s="250"/>
      <c r="C20" s="218"/>
      <c r="D20" s="251"/>
      <c r="E20" s="252"/>
      <c r="F20" s="252"/>
      <c r="G20" s="253" t="s">
        <v>54</v>
      </c>
      <c r="H20" s="254">
        <f>SUM(H6:H19)</f>
        <v>12000000</v>
      </c>
      <c r="I20" s="254">
        <f>SUM(I6:I19)</f>
        <v>12000000</v>
      </c>
      <c r="J20" s="255"/>
      <c r="K20" s="237"/>
      <c r="L20" s="237"/>
      <c r="M20" s="237"/>
      <c r="N20" s="237"/>
      <c r="O20" s="238">
        <f t="shared" si="0"/>
        <v>12000000</v>
      </c>
      <c r="P20" s="239"/>
    </row>
  </sheetData>
  <mergeCells count="3">
    <mergeCell ref="C1:D1"/>
    <mergeCell ref="C2:D2"/>
    <mergeCell ref="C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opLeftCell="A10" workbookViewId="0">
      <selection activeCell="F23" sqref="F23"/>
    </sheetView>
  </sheetViews>
  <sheetFormatPr defaultRowHeight="15"/>
  <cols>
    <col min="2" max="2" width="15.28515625" customWidth="1"/>
    <col min="3" max="3" width="20.140625" customWidth="1"/>
    <col min="4" max="4" width="37.7109375" customWidth="1"/>
    <col min="5" max="5" width="14.28515625" customWidth="1"/>
    <col min="6" max="6" width="16.28515625" customWidth="1"/>
    <col min="7" max="7" width="17.28515625" customWidth="1"/>
    <col min="8" max="8" width="15.7109375" customWidth="1"/>
    <col min="9" max="9" width="14.5703125" customWidth="1"/>
    <col min="10" max="10" width="13.5703125" customWidth="1"/>
    <col min="11" max="11" width="15.85546875" customWidth="1"/>
    <col min="12" max="12" width="13.7109375" customWidth="1"/>
    <col min="13" max="13" width="16.42578125" customWidth="1"/>
  </cols>
  <sheetData>
    <row r="1" spans="1:14" ht="15.75">
      <c r="A1" s="333"/>
      <c r="B1" s="334" t="s">
        <v>17</v>
      </c>
      <c r="C1" s="494" t="s">
        <v>771</v>
      </c>
      <c r="D1" s="495"/>
      <c r="E1" s="335"/>
      <c r="F1" s="336"/>
      <c r="G1" s="336"/>
      <c r="H1" s="182"/>
      <c r="I1" s="138"/>
      <c r="J1" s="182"/>
      <c r="K1" s="336"/>
      <c r="L1" s="333"/>
      <c r="M1" s="333"/>
      <c r="N1" s="333"/>
    </row>
    <row r="2" spans="1:14" ht="15.75">
      <c r="A2" s="333"/>
      <c r="B2" s="334" t="s">
        <v>19</v>
      </c>
      <c r="C2" s="496">
        <f ca="1">TODAY()</f>
        <v>43040</v>
      </c>
      <c r="D2" s="497"/>
      <c r="E2" s="337"/>
      <c r="F2" s="336"/>
      <c r="G2" s="338"/>
      <c r="H2" s="187"/>
      <c r="I2" s="138"/>
      <c r="J2" s="138"/>
      <c r="K2" s="336"/>
      <c r="L2" s="333"/>
      <c r="M2" s="339">
        <f ca="1">C2</f>
        <v>43040</v>
      </c>
      <c r="N2" s="333"/>
    </row>
    <row r="3" spans="1:14" ht="31.5">
      <c r="A3" s="333"/>
      <c r="B3" s="334" t="s">
        <v>20</v>
      </c>
      <c r="C3" s="498"/>
      <c r="D3" s="499"/>
      <c r="E3" s="340"/>
      <c r="F3" s="336"/>
      <c r="G3" s="336"/>
      <c r="H3" s="182"/>
      <c r="I3" s="182"/>
      <c r="J3" s="182"/>
      <c r="K3" s="336"/>
      <c r="L3" s="333"/>
      <c r="M3" s="333"/>
      <c r="N3" s="333"/>
    </row>
    <row r="4" spans="1:14" ht="15.75">
      <c r="A4" s="333"/>
      <c r="B4" s="341"/>
      <c r="C4" s="342"/>
      <c r="D4" s="343"/>
      <c r="E4" s="343"/>
      <c r="F4" s="336"/>
      <c r="G4" s="336"/>
      <c r="H4" s="182"/>
      <c r="I4" s="182"/>
      <c r="J4" s="182"/>
      <c r="K4" s="336"/>
      <c r="L4" s="333"/>
      <c r="M4" s="333"/>
      <c r="N4" s="333"/>
    </row>
    <row r="5" spans="1:14" ht="47.25" customHeight="1">
      <c r="A5" s="486" t="s">
        <v>57</v>
      </c>
      <c r="B5" s="489" t="s">
        <v>22</v>
      </c>
      <c r="C5" s="489" t="s">
        <v>23</v>
      </c>
      <c r="D5" s="489" t="s">
        <v>24</v>
      </c>
      <c r="E5" s="489" t="s">
        <v>25</v>
      </c>
      <c r="F5" s="490" t="s">
        <v>15</v>
      </c>
      <c r="G5" s="490" t="s">
        <v>772</v>
      </c>
      <c r="H5" s="486" t="s">
        <v>26</v>
      </c>
      <c r="I5" s="491" t="s">
        <v>27</v>
      </c>
      <c r="J5" s="489" t="s">
        <v>28</v>
      </c>
      <c r="K5" s="483" t="s">
        <v>13</v>
      </c>
      <c r="L5" s="486" t="s">
        <v>11</v>
      </c>
      <c r="M5" s="486" t="s">
        <v>9</v>
      </c>
      <c r="N5" s="486" t="s">
        <v>31</v>
      </c>
    </row>
    <row r="6" spans="1:14" ht="47.25" customHeight="1">
      <c r="A6" s="487"/>
      <c r="B6" s="489"/>
      <c r="C6" s="489"/>
      <c r="D6" s="489"/>
      <c r="E6" s="489"/>
      <c r="F6" s="490"/>
      <c r="G6" s="490"/>
      <c r="H6" s="487"/>
      <c r="I6" s="492"/>
      <c r="J6" s="489"/>
      <c r="K6" s="484"/>
      <c r="L6" s="487"/>
      <c r="M6" s="487"/>
      <c r="N6" s="487"/>
    </row>
    <row r="7" spans="1:14" ht="47.25" customHeight="1">
      <c r="A7" s="488"/>
      <c r="B7" s="489"/>
      <c r="C7" s="489"/>
      <c r="D7" s="489"/>
      <c r="E7" s="489"/>
      <c r="F7" s="490"/>
      <c r="G7" s="490"/>
      <c r="H7" s="488"/>
      <c r="I7" s="493"/>
      <c r="J7" s="489"/>
      <c r="K7" s="485"/>
      <c r="L7" s="488"/>
      <c r="M7" s="488"/>
      <c r="N7" s="488"/>
    </row>
    <row r="8" spans="1:14" s="29" customFormat="1" ht="105">
      <c r="A8" s="344">
        <v>1</v>
      </c>
      <c r="B8" s="134">
        <v>48120206</v>
      </c>
      <c r="C8" s="32" t="s">
        <v>773</v>
      </c>
      <c r="D8" s="345" t="s">
        <v>774</v>
      </c>
      <c r="E8" s="134" t="s">
        <v>775</v>
      </c>
      <c r="F8" s="346">
        <v>2500000</v>
      </c>
      <c r="G8" s="347">
        <f>F8</f>
        <v>2500000</v>
      </c>
      <c r="H8" s="201" t="s">
        <v>776</v>
      </c>
      <c r="I8" s="131">
        <v>0</v>
      </c>
      <c r="J8" s="131">
        <v>0</v>
      </c>
      <c r="K8" s="150">
        <v>0</v>
      </c>
      <c r="L8" s="132">
        <v>0</v>
      </c>
      <c r="M8" s="130">
        <f>G8-K8-L8</f>
        <v>2500000</v>
      </c>
      <c r="N8" s="134" t="s">
        <v>777</v>
      </c>
    </row>
    <row r="9" spans="1:14" ht="105">
      <c r="A9" s="349">
        <v>2</v>
      </c>
      <c r="B9" s="46">
        <v>48190030</v>
      </c>
      <c r="C9" s="32" t="s">
        <v>778</v>
      </c>
      <c r="D9" s="350" t="s">
        <v>779</v>
      </c>
      <c r="E9" s="134" t="s">
        <v>775</v>
      </c>
      <c r="F9" s="346">
        <v>2500000</v>
      </c>
      <c r="G9" s="347">
        <f>F9</f>
        <v>2500000</v>
      </c>
      <c r="H9" s="348" t="s">
        <v>780</v>
      </c>
      <c r="I9" s="131">
        <v>0</v>
      </c>
      <c r="J9" s="131">
        <v>0</v>
      </c>
      <c r="K9" s="150">
        <v>0</v>
      </c>
      <c r="L9" s="132">
        <v>0</v>
      </c>
      <c r="M9" s="130">
        <f t="shared" ref="M9:M12" si="0">G9-K9-L9</f>
        <v>2500000</v>
      </c>
      <c r="N9" s="46" t="s">
        <v>777</v>
      </c>
    </row>
    <row r="10" spans="1:14" s="29" customFormat="1" ht="105">
      <c r="A10" s="344">
        <v>3</v>
      </c>
      <c r="B10" s="134">
        <v>48140040</v>
      </c>
      <c r="C10" s="32" t="s">
        <v>781</v>
      </c>
      <c r="D10" s="350" t="s">
        <v>782</v>
      </c>
      <c r="E10" s="134" t="s">
        <v>775</v>
      </c>
      <c r="F10" s="346">
        <v>1500000</v>
      </c>
      <c r="G10" s="347">
        <f>F10</f>
        <v>1500000</v>
      </c>
      <c r="H10" s="201" t="s">
        <v>783</v>
      </c>
      <c r="I10" s="131">
        <v>0</v>
      </c>
      <c r="J10" s="131">
        <v>0</v>
      </c>
      <c r="K10" s="150">
        <v>0</v>
      </c>
      <c r="L10" s="132">
        <v>0</v>
      </c>
      <c r="M10" s="130">
        <f t="shared" si="0"/>
        <v>1500000</v>
      </c>
      <c r="N10" s="134" t="s">
        <v>777</v>
      </c>
    </row>
    <row r="11" spans="1:14" ht="105">
      <c r="A11" s="349">
        <v>4</v>
      </c>
      <c r="B11" s="46">
        <v>48180020</v>
      </c>
      <c r="C11" s="32" t="s">
        <v>784</v>
      </c>
      <c r="D11" s="345" t="s">
        <v>785</v>
      </c>
      <c r="E11" s="134" t="s">
        <v>775</v>
      </c>
      <c r="F11" s="346">
        <v>2000000</v>
      </c>
      <c r="G11" s="351">
        <f>F11</f>
        <v>2000000</v>
      </c>
      <c r="H11" s="348" t="s">
        <v>786</v>
      </c>
      <c r="I11" s="131">
        <v>0</v>
      </c>
      <c r="J11" s="131">
        <v>0</v>
      </c>
      <c r="K11" s="150">
        <v>0</v>
      </c>
      <c r="L11" s="132">
        <v>0</v>
      </c>
      <c r="M11" s="130">
        <f t="shared" si="0"/>
        <v>2000000</v>
      </c>
      <c r="N11" s="46" t="s">
        <v>777</v>
      </c>
    </row>
    <row r="12" spans="1:14" s="29" customFormat="1" ht="105">
      <c r="A12" s="134">
        <v>5</v>
      </c>
      <c r="B12" s="134">
        <v>48190020</v>
      </c>
      <c r="C12" s="45" t="s">
        <v>787</v>
      </c>
      <c r="D12" s="345" t="s">
        <v>788</v>
      </c>
      <c r="E12" s="134" t="s">
        <v>775</v>
      </c>
      <c r="F12" s="346">
        <v>2500000</v>
      </c>
      <c r="G12" s="351">
        <f>F12</f>
        <v>2500000</v>
      </c>
      <c r="H12" s="201" t="s">
        <v>786</v>
      </c>
      <c r="I12" s="131">
        <v>0</v>
      </c>
      <c r="J12" s="131">
        <v>0</v>
      </c>
      <c r="K12" s="150">
        <v>0</v>
      </c>
      <c r="L12" s="132">
        <v>0</v>
      </c>
      <c r="M12" s="130">
        <f t="shared" si="0"/>
        <v>2500000</v>
      </c>
      <c r="N12" s="134" t="s">
        <v>777</v>
      </c>
    </row>
    <row r="13" spans="1:14">
      <c r="A13" s="46"/>
      <c r="B13" s="46"/>
      <c r="C13" s="45"/>
      <c r="D13" s="45"/>
      <c r="E13" s="45"/>
      <c r="F13" s="129"/>
      <c r="G13" s="352"/>
      <c r="H13" s="348"/>
      <c r="I13" s="353"/>
      <c r="J13" s="353"/>
      <c r="K13" s="150"/>
      <c r="L13" s="150"/>
      <c r="M13" s="130"/>
      <c r="N13" s="134"/>
    </row>
    <row r="14" spans="1:14">
      <c r="A14" s="46"/>
      <c r="B14" s="46"/>
      <c r="C14" s="45"/>
      <c r="D14" s="45"/>
      <c r="E14" s="45"/>
      <c r="F14" s="129"/>
      <c r="G14" s="352"/>
      <c r="H14" s="348"/>
      <c r="I14" s="353"/>
      <c r="J14" s="353"/>
      <c r="K14" s="150"/>
      <c r="L14" s="150"/>
      <c r="M14" s="129"/>
      <c r="N14" s="134"/>
    </row>
    <row r="15" spans="1:14">
      <c r="A15" s="46"/>
      <c r="B15" s="46"/>
      <c r="C15" s="45"/>
      <c r="D15" s="45"/>
      <c r="E15" s="45"/>
      <c r="F15" s="129"/>
      <c r="G15" s="352"/>
      <c r="H15" s="348"/>
      <c r="I15" s="353"/>
      <c r="J15" s="353"/>
      <c r="K15" s="150"/>
      <c r="L15" s="150"/>
      <c r="M15" s="129"/>
      <c r="N15" s="134"/>
    </row>
    <row r="16" spans="1:14">
      <c r="A16" s="46"/>
      <c r="B16" s="46"/>
      <c r="C16" s="45"/>
      <c r="D16" s="45"/>
      <c r="E16" s="45"/>
      <c r="F16" s="354"/>
      <c r="G16" s="355"/>
      <c r="H16" s="348"/>
      <c r="I16" s="353"/>
      <c r="J16" s="353"/>
      <c r="K16" s="356"/>
      <c r="L16" s="356"/>
      <c r="M16" s="354"/>
      <c r="N16" s="46"/>
    </row>
    <row r="17" spans="1:14" ht="15.75">
      <c r="A17" s="137"/>
      <c r="B17" s="138"/>
      <c r="C17" s="137"/>
      <c r="D17" s="137"/>
      <c r="E17" s="139" t="s">
        <v>54</v>
      </c>
      <c r="F17" s="357">
        <f>SUM(F8:F16)</f>
        <v>11000000</v>
      </c>
      <c r="G17" s="357">
        <f>SUM(G8:G16)</f>
        <v>11000000</v>
      </c>
      <c r="H17" s="358"/>
      <c r="I17" s="359"/>
      <c r="J17" s="360"/>
      <c r="K17" s="357">
        <f>SUM(K8:K16)</f>
        <v>0</v>
      </c>
      <c r="L17" s="361">
        <f>SUM(L8:L16)</f>
        <v>0</v>
      </c>
      <c r="M17" s="361">
        <f>SUM(M8:M16)</f>
        <v>11000000</v>
      </c>
      <c r="N17" s="143"/>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13" workbookViewId="0">
      <selection activeCell="B8" sqref="B8"/>
    </sheetView>
  </sheetViews>
  <sheetFormatPr defaultRowHeight="15"/>
  <cols>
    <col min="2" max="2" width="15" customWidth="1"/>
    <col min="3" max="3" width="17.140625" customWidth="1"/>
    <col min="4" max="4" width="19.7109375" customWidth="1"/>
    <col min="5" max="5" width="17.7109375" customWidth="1"/>
    <col min="6" max="6" width="17.28515625" customWidth="1"/>
    <col min="7" max="7" width="19.28515625" customWidth="1"/>
    <col min="10" max="10" width="14.28515625" customWidth="1"/>
  </cols>
  <sheetData>
    <row r="1" spans="1:11" ht="15.75">
      <c r="A1" s="333"/>
      <c r="B1" s="334" t="s">
        <v>17</v>
      </c>
      <c r="C1" s="504" t="s">
        <v>771</v>
      </c>
      <c r="D1" s="504"/>
      <c r="E1" s="362"/>
      <c r="F1" s="363"/>
      <c r="G1" s="362"/>
      <c r="H1" s="336"/>
      <c r="I1" s="333"/>
      <c r="J1" s="333"/>
      <c r="K1" s="333"/>
    </row>
    <row r="2" spans="1:11" ht="15.75">
      <c r="A2" s="333"/>
      <c r="B2" s="334" t="s">
        <v>19</v>
      </c>
      <c r="C2" s="505">
        <f ca="1">TODAY()</f>
        <v>43040</v>
      </c>
      <c r="D2" s="505"/>
      <c r="E2" s="364"/>
      <c r="F2" s="363"/>
      <c r="G2" s="363"/>
      <c r="H2" s="336"/>
      <c r="I2" s="333"/>
      <c r="J2" s="339">
        <f ca="1">C2</f>
        <v>43040</v>
      </c>
      <c r="K2" s="333"/>
    </row>
    <row r="3" spans="1:11" ht="31.5">
      <c r="A3" s="333"/>
      <c r="B3" s="334" t="s">
        <v>20</v>
      </c>
      <c r="C3" s="506"/>
      <c r="D3" s="506"/>
      <c r="E3" s="362"/>
      <c r="F3" s="362"/>
      <c r="G3" s="362"/>
      <c r="H3" s="336"/>
      <c r="I3" s="333"/>
      <c r="J3" s="333"/>
      <c r="K3" s="333"/>
    </row>
    <row r="4" spans="1:11">
      <c r="A4" s="333"/>
      <c r="B4" s="342"/>
      <c r="C4" s="336"/>
      <c r="D4" s="336"/>
      <c r="E4" s="362"/>
      <c r="F4" s="362"/>
      <c r="G4" s="362"/>
      <c r="H4" s="336"/>
      <c r="I4" s="333"/>
      <c r="J4" s="333"/>
      <c r="K4" s="333"/>
    </row>
    <row r="5" spans="1:11" ht="15.75">
      <c r="A5" s="365"/>
      <c r="B5" s="507" t="s">
        <v>789</v>
      </c>
      <c r="C5" s="507"/>
      <c r="D5" s="507"/>
      <c r="E5" s="507"/>
      <c r="F5" s="507"/>
      <c r="G5" s="507"/>
      <c r="H5" s="507"/>
      <c r="I5" s="507"/>
      <c r="J5" s="507"/>
      <c r="K5" s="508"/>
    </row>
    <row r="6" spans="1:11" ht="15.75">
      <c r="A6" s="366"/>
      <c r="B6" s="509"/>
      <c r="C6" s="509"/>
      <c r="D6" s="509"/>
      <c r="E6" s="509"/>
      <c r="F6" s="509"/>
      <c r="G6" s="509"/>
      <c r="H6" s="509"/>
      <c r="I6" s="509"/>
      <c r="J6" s="509"/>
      <c r="K6" s="510"/>
    </row>
    <row r="7" spans="1:11" ht="15.75">
      <c r="A7" s="366"/>
      <c r="B7" s="511"/>
      <c r="C7" s="511"/>
      <c r="D7" s="511"/>
      <c r="E7" s="511"/>
      <c r="F7" s="511"/>
      <c r="G7" s="511"/>
      <c r="H7" s="511"/>
      <c r="I7" s="511"/>
      <c r="J7" s="511"/>
      <c r="K7" s="512"/>
    </row>
    <row r="8" spans="1:11" ht="63">
      <c r="A8" s="367" t="s">
        <v>57</v>
      </c>
      <c r="B8" s="128" t="s">
        <v>23</v>
      </c>
      <c r="C8" s="368" t="s">
        <v>798</v>
      </c>
      <c r="D8" s="369" t="s">
        <v>799</v>
      </c>
      <c r="E8" s="369" t="s">
        <v>800</v>
      </c>
      <c r="F8" s="369" t="s">
        <v>801</v>
      </c>
      <c r="G8" s="369" t="s">
        <v>802</v>
      </c>
      <c r="H8" s="500" t="s">
        <v>803</v>
      </c>
      <c r="I8" s="501"/>
      <c r="J8" s="501"/>
      <c r="K8" s="502"/>
    </row>
    <row r="9" spans="1:11" ht="75">
      <c r="A9" s="344">
        <v>1</v>
      </c>
      <c r="B9" s="32" t="str">
        <f>'[1]1-Template'!C8</f>
        <v>Camp Mabry Admin Offices
2200 W 35th St Bldg 1
Austin, 78730</v>
      </c>
      <c r="C9" s="347">
        <f>'[1]1-Template'!F8*2</f>
        <v>5000000</v>
      </c>
      <c r="D9" s="370">
        <f>C9/2</f>
        <v>2500000</v>
      </c>
      <c r="E9" s="370">
        <v>0</v>
      </c>
      <c r="F9" s="370">
        <v>0</v>
      </c>
      <c r="G9" s="370">
        <f t="shared" ref="G9:G13" si="0">D9-E9-F9</f>
        <v>2500000</v>
      </c>
      <c r="H9" s="494" t="s">
        <v>804</v>
      </c>
      <c r="I9" s="503"/>
      <c r="J9" s="503"/>
      <c r="K9" s="495"/>
    </row>
    <row r="10" spans="1:11" ht="90">
      <c r="A10" s="349">
        <v>2</v>
      </c>
      <c r="B10" s="32" t="str">
        <f>'[1]1-Template'!C9</f>
        <v>Weslaco Readiness Center
1100 Vo-Tech Drive
Weslaco 78596</v>
      </c>
      <c r="C10" s="346">
        <f>'[1]1-Template'!F9*2</f>
        <v>5000000</v>
      </c>
      <c r="D10" s="347">
        <f>C10/2</f>
        <v>2500000</v>
      </c>
      <c r="E10" s="370">
        <v>0</v>
      </c>
      <c r="F10" s="370">
        <v>0</v>
      </c>
      <c r="G10" s="370">
        <f t="shared" si="0"/>
        <v>2500000</v>
      </c>
      <c r="H10" s="494" t="s">
        <v>804</v>
      </c>
      <c r="I10" s="503"/>
      <c r="J10" s="503"/>
      <c r="K10" s="495"/>
    </row>
    <row r="11" spans="1:11" ht="105">
      <c r="A11" s="349">
        <v>3</v>
      </c>
      <c r="B11" s="32" t="str">
        <f>'[1]1-Template'!C10</f>
        <v>Terrell Readiness Center
Lions Club Parkway 
Hwy 80 West
Terrell 75160</v>
      </c>
      <c r="C11" s="346">
        <f>'[1]1-Template'!F10*2</f>
        <v>3000000</v>
      </c>
      <c r="D11" s="347">
        <f t="shared" ref="D11:D13" si="1">C11/2</f>
        <v>1500000</v>
      </c>
      <c r="E11" s="370">
        <v>0</v>
      </c>
      <c r="F11" s="370">
        <v>0</v>
      </c>
      <c r="G11" s="370">
        <f t="shared" si="0"/>
        <v>1500000</v>
      </c>
      <c r="H11" s="494" t="s">
        <v>804</v>
      </c>
      <c r="I11" s="503"/>
      <c r="J11" s="503"/>
      <c r="K11" s="495"/>
    </row>
    <row r="12" spans="1:11" ht="120">
      <c r="A12" s="349">
        <v>4</v>
      </c>
      <c r="B12" s="32" t="str">
        <f>'[1]1-Template'!C11</f>
        <v>Fort Worth Shoreview Readiness Center
8111 Shoreview Dr
Fort Worth 76108</v>
      </c>
      <c r="C12" s="346">
        <f>'[1]1-Template'!F11*2</f>
        <v>4000000</v>
      </c>
      <c r="D12" s="347">
        <f t="shared" si="1"/>
        <v>2000000</v>
      </c>
      <c r="E12" s="370">
        <v>0</v>
      </c>
      <c r="F12" s="370">
        <v>0</v>
      </c>
      <c r="G12" s="370">
        <f t="shared" si="0"/>
        <v>2000000</v>
      </c>
      <c r="H12" s="494" t="s">
        <v>804</v>
      </c>
      <c r="I12" s="503"/>
      <c r="J12" s="503"/>
      <c r="K12" s="495"/>
    </row>
    <row r="13" spans="1:11" ht="120">
      <c r="A13" s="46">
        <v>5</v>
      </c>
      <c r="B13" s="45" t="str">
        <f>'[1]1-Template'!C12</f>
        <v>Fort Worth Cobb Park Readiness Center
2101 Cobb Park Dr
Fort Worth 76105</v>
      </c>
      <c r="C13" s="346">
        <f>'[1]1-Template'!F12*2</f>
        <v>5000000</v>
      </c>
      <c r="D13" s="347">
        <f t="shared" si="1"/>
        <v>2500000</v>
      </c>
      <c r="E13" s="370">
        <v>0</v>
      </c>
      <c r="F13" s="370">
        <v>0</v>
      </c>
      <c r="G13" s="370">
        <f t="shared" si="0"/>
        <v>2500000</v>
      </c>
      <c r="H13" s="494" t="s">
        <v>804</v>
      </c>
      <c r="I13" s="503"/>
      <c r="J13" s="503"/>
      <c r="K13" s="495"/>
    </row>
    <row r="14" spans="1:11" ht="15.75">
      <c r="A14" s="46"/>
      <c r="B14" s="45"/>
      <c r="C14" s="129"/>
      <c r="D14" s="371"/>
      <c r="E14" s="372"/>
      <c r="F14" s="372"/>
      <c r="G14" s="372"/>
      <c r="H14" s="500"/>
      <c r="I14" s="501"/>
      <c r="J14" s="501"/>
      <c r="K14" s="502"/>
    </row>
    <row r="15" spans="1:11" ht="15.75">
      <c r="A15" s="46"/>
      <c r="B15" s="45"/>
      <c r="C15" s="129"/>
      <c r="D15" s="371"/>
      <c r="E15" s="372"/>
      <c r="F15" s="372"/>
      <c r="G15" s="372"/>
      <c r="H15" s="500"/>
      <c r="I15" s="501"/>
      <c r="J15" s="501"/>
      <c r="K15" s="502"/>
    </row>
    <row r="16" spans="1:11" ht="15.75">
      <c r="A16" s="46"/>
      <c r="B16" s="45"/>
      <c r="C16" s="129"/>
      <c r="D16" s="371"/>
      <c r="E16" s="372"/>
      <c r="F16" s="372"/>
      <c r="G16" s="372"/>
      <c r="H16" s="500"/>
      <c r="I16" s="501"/>
      <c r="J16" s="501"/>
      <c r="K16" s="502"/>
    </row>
    <row r="17" spans="1:11" ht="15.75">
      <c r="A17" s="46"/>
      <c r="B17" s="45"/>
      <c r="C17" s="354"/>
      <c r="D17" s="373"/>
      <c r="E17" s="374"/>
      <c r="F17" s="374"/>
      <c r="G17" s="374"/>
      <c r="H17" s="500"/>
      <c r="I17" s="501"/>
      <c r="J17" s="501"/>
      <c r="K17" s="502"/>
    </row>
    <row r="18" spans="1:11" ht="15.75">
      <c r="A18" s="137"/>
      <c r="B18" s="139" t="s">
        <v>54</v>
      </c>
      <c r="C18" s="357">
        <f>SUM(C9:C17)</f>
        <v>22000000</v>
      </c>
      <c r="D18" s="357">
        <f>SUM(D9:D17)</f>
        <v>11000000</v>
      </c>
      <c r="E18" s="357">
        <f t="shared" ref="E18:G18" si="2">SUM(E9:E17)</f>
        <v>0</v>
      </c>
      <c r="F18" s="357">
        <f t="shared" si="2"/>
        <v>0</v>
      </c>
      <c r="G18" s="357">
        <f t="shared" si="2"/>
        <v>11000000</v>
      </c>
      <c r="H18" s="22"/>
      <c r="I18" s="22"/>
      <c r="J18" s="70"/>
      <c r="K18" s="143"/>
    </row>
    <row r="19" spans="1:11" ht="15.75">
      <c r="A19" s="137"/>
      <c r="B19" s="375"/>
      <c r="C19" s="376"/>
      <c r="D19" s="377">
        <f>D18-C18</f>
        <v>-11000000</v>
      </c>
      <c r="E19" s="378"/>
      <c r="F19" s="378"/>
      <c r="G19" s="378"/>
      <c r="H19" s="376"/>
      <c r="I19" s="137"/>
      <c r="J19" s="137"/>
      <c r="K19" s="137"/>
    </row>
    <row r="20" spans="1:11">
      <c r="A20" s="137"/>
      <c r="B20" s="379"/>
      <c r="C20" s="377"/>
      <c r="D20" s="377">
        <f>11000000-D18</f>
        <v>0</v>
      </c>
      <c r="E20" s="380"/>
      <c r="F20" s="380"/>
      <c r="G20" s="380"/>
      <c r="H20" s="338"/>
      <c r="I20" s="137"/>
      <c r="J20" s="137"/>
      <c r="K20" s="137"/>
    </row>
  </sheetData>
  <mergeCells count="14">
    <mergeCell ref="H9:K9"/>
    <mergeCell ref="C1:D1"/>
    <mergeCell ref="C2:D2"/>
    <mergeCell ref="C3:D3"/>
    <mergeCell ref="B5:K7"/>
    <mergeCell ref="H8:K8"/>
    <mergeCell ref="H16:K16"/>
    <mergeCell ref="H17:K17"/>
    <mergeCell ref="H10:K10"/>
    <mergeCell ref="H11:K11"/>
    <mergeCell ref="H12:K12"/>
    <mergeCell ref="H13:K13"/>
    <mergeCell ref="H14:K14"/>
    <mergeCell ref="H15:K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topLeftCell="A100" workbookViewId="0">
      <selection activeCell="F102" sqref="F102"/>
    </sheetView>
  </sheetViews>
  <sheetFormatPr defaultRowHeight="15"/>
  <cols>
    <col min="2" max="2" width="9.85546875" customWidth="1"/>
    <col min="3" max="3" width="17.42578125" customWidth="1"/>
    <col min="4" max="4" width="35.85546875" customWidth="1"/>
    <col min="5" max="5" width="12.140625" customWidth="1"/>
    <col min="6" max="6" width="18.140625" customWidth="1"/>
    <col min="7" max="7" width="17.7109375" customWidth="1"/>
    <col min="8" max="8" width="13.85546875" customWidth="1"/>
    <col min="9" max="9" width="15" customWidth="1"/>
    <col min="10" max="10" width="14.7109375" customWidth="1"/>
    <col min="11" max="11" width="16.5703125" customWidth="1"/>
    <col min="12" max="12" width="15" customWidth="1"/>
    <col min="13" max="13" width="17.5703125" customWidth="1"/>
  </cols>
  <sheetData>
    <row r="1" spans="1:14" ht="31.5">
      <c r="A1" s="260"/>
      <c r="B1" s="261" t="s">
        <v>17</v>
      </c>
      <c r="C1" s="513" t="s">
        <v>491</v>
      </c>
      <c r="D1" s="514"/>
      <c r="E1" s="262"/>
      <c r="F1" s="263"/>
      <c r="G1" s="260"/>
      <c r="H1" s="264"/>
      <c r="I1" s="265"/>
      <c r="J1" s="266"/>
      <c r="K1" s="260"/>
      <c r="L1" s="260"/>
      <c r="M1" s="260"/>
      <c r="N1" s="260"/>
    </row>
    <row r="2" spans="1:14" ht="15.75">
      <c r="A2" s="260"/>
      <c r="B2" s="261" t="s">
        <v>19</v>
      </c>
      <c r="C2" s="515">
        <v>42992</v>
      </c>
      <c r="D2" s="516"/>
      <c r="E2" s="267"/>
      <c r="F2" s="263"/>
      <c r="G2" s="268"/>
      <c r="H2" s="269"/>
      <c r="I2" s="265"/>
      <c r="J2" s="270"/>
      <c r="K2" s="260"/>
      <c r="L2" s="260"/>
      <c r="M2" s="25">
        <v>42992</v>
      </c>
      <c r="N2" s="127"/>
    </row>
    <row r="3" spans="1:14" ht="31.5">
      <c r="A3" s="260"/>
      <c r="B3" s="261" t="s">
        <v>20</v>
      </c>
      <c r="C3" s="517" t="s">
        <v>492</v>
      </c>
      <c r="D3" s="518"/>
      <c r="E3" s="271"/>
      <c r="F3" s="272"/>
      <c r="G3" s="260"/>
      <c r="H3" s="264"/>
      <c r="I3" s="273"/>
      <c r="J3" s="266"/>
      <c r="K3" s="260"/>
      <c r="L3" s="260"/>
      <c r="M3" s="260"/>
      <c r="N3" s="260"/>
    </row>
    <row r="4" spans="1:14" ht="16.5" thickBot="1">
      <c r="A4" s="260"/>
      <c r="B4" s="274"/>
      <c r="C4" s="275"/>
      <c r="D4" s="276"/>
      <c r="E4" s="277"/>
      <c r="F4" s="278"/>
      <c r="G4" s="279"/>
      <c r="H4" s="264"/>
      <c r="I4" s="280"/>
      <c r="J4" s="281"/>
      <c r="K4" s="260"/>
      <c r="L4" s="260"/>
      <c r="M4" s="260"/>
      <c r="N4" s="260"/>
    </row>
    <row r="5" spans="1:14" ht="33" customHeight="1">
      <c r="A5" s="519" t="s">
        <v>57</v>
      </c>
      <c r="B5" s="522" t="s">
        <v>22</v>
      </c>
      <c r="C5" s="522" t="s">
        <v>23</v>
      </c>
      <c r="D5" s="522" t="s">
        <v>24</v>
      </c>
      <c r="E5" s="522" t="s">
        <v>25</v>
      </c>
      <c r="F5" s="528" t="s">
        <v>15</v>
      </c>
      <c r="G5" s="522" t="s">
        <v>58</v>
      </c>
      <c r="H5" s="531" t="s">
        <v>26</v>
      </c>
      <c r="I5" s="534" t="s">
        <v>27</v>
      </c>
      <c r="J5" s="522" t="s">
        <v>28</v>
      </c>
      <c r="K5" s="522" t="s">
        <v>13</v>
      </c>
      <c r="L5" s="522" t="s">
        <v>11</v>
      </c>
      <c r="M5" s="522" t="s">
        <v>9</v>
      </c>
      <c r="N5" s="525" t="s">
        <v>31</v>
      </c>
    </row>
    <row r="6" spans="1:14" ht="33" customHeight="1">
      <c r="A6" s="520"/>
      <c r="B6" s="523"/>
      <c r="C6" s="523"/>
      <c r="D6" s="523"/>
      <c r="E6" s="523"/>
      <c r="F6" s="529"/>
      <c r="G6" s="523"/>
      <c r="H6" s="532"/>
      <c r="I6" s="535"/>
      <c r="J6" s="523"/>
      <c r="K6" s="523"/>
      <c r="L6" s="523"/>
      <c r="M6" s="523"/>
      <c r="N6" s="526"/>
    </row>
    <row r="7" spans="1:14" ht="33" customHeight="1" thickBot="1">
      <c r="A7" s="521"/>
      <c r="B7" s="524"/>
      <c r="C7" s="524"/>
      <c r="D7" s="524"/>
      <c r="E7" s="524"/>
      <c r="F7" s="530"/>
      <c r="G7" s="524"/>
      <c r="H7" s="533"/>
      <c r="I7" s="536"/>
      <c r="J7" s="524"/>
      <c r="K7" s="524"/>
      <c r="L7" s="524"/>
      <c r="M7" s="524"/>
      <c r="N7" s="527"/>
    </row>
    <row r="8" spans="1:14" s="29" customFormat="1" ht="135">
      <c r="A8" s="282">
        <v>1</v>
      </c>
      <c r="B8" s="283" t="s">
        <v>493</v>
      </c>
      <c r="C8" s="284" t="s">
        <v>494</v>
      </c>
      <c r="D8" s="284" t="s">
        <v>495</v>
      </c>
      <c r="E8" s="285" t="s">
        <v>496</v>
      </c>
      <c r="F8" s="286">
        <v>1200000</v>
      </c>
      <c r="G8" s="287">
        <f t="shared" ref="G8:G71" si="0">F8</f>
        <v>1200000</v>
      </c>
      <c r="H8" s="288">
        <v>43282</v>
      </c>
      <c r="I8" s="289">
        <v>1</v>
      </c>
      <c r="J8" s="290">
        <v>0.3</v>
      </c>
      <c r="K8" s="291">
        <v>0</v>
      </c>
      <c r="L8" s="291">
        <v>0</v>
      </c>
      <c r="M8" s="291">
        <f t="shared" ref="M8:M71" si="1">F8</f>
        <v>1200000</v>
      </c>
      <c r="N8" s="292"/>
    </row>
    <row r="9" spans="1:14" s="29" customFormat="1" ht="150">
      <c r="A9" s="293">
        <v>2</v>
      </c>
      <c r="B9" s="294" t="s">
        <v>497</v>
      </c>
      <c r="C9" s="295" t="s">
        <v>498</v>
      </c>
      <c r="D9" s="295" t="s">
        <v>499</v>
      </c>
      <c r="E9" s="296" t="s">
        <v>496</v>
      </c>
      <c r="F9" s="297">
        <v>35000</v>
      </c>
      <c r="G9" s="298">
        <f t="shared" si="0"/>
        <v>35000</v>
      </c>
      <c r="H9" s="299">
        <v>43580.708333333299</v>
      </c>
      <c r="I9" s="300">
        <v>0.6</v>
      </c>
      <c r="J9" s="301">
        <v>0</v>
      </c>
      <c r="K9" s="302">
        <v>0</v>
      </c>
      <c r="L9" s="302">
        <v>0</v>
      </c>
      <c r="M9" s="302">
        <f t="shared" si="1"/>
        <v>35000</v>
      </c>
      <c r="N9" s="303"/>
    </row>
    <row r="10" spans="1:14" s="29" customFormat="1" ht="135.75">
      <c r="A10" s="293">
        <v>3</v>
      </c>
      <c r="B10" s="294" t="s">
        <v>500</v>
      </c>
      <c r="C10" s="295" t="s">
        <v>501</v>
      </c>
      <c r="D10" s="295" t="s">
        <v>502</v>
      </c>
      <c r="E10" s="296" t="s">
        <v>496</v>
      </c>
      <c r="F10" s="297">
        <v>71904.622499999998</v>
      </c>
      <c r="G10" s="298">
        <f t="shared" si="0"/>
        <v>71904.622499999998</v>
      </c>
      <c r="H10" s="299">
        <v>43944.708333333299</v>
      </c>
      <c r="I10" s="300">
        <v>0.6</v>
      </c>
      <c r="J10" s="301">
        <v>0</v>
      </c>
      <c r="K10" s="302">
        <v>0</v>
      </c>
      <c r="L10" s="302">
        <v>0</v>
      </c>
      <c r="M10" s="302">
        <f t="shared" si="1"/>
        <v>71904.622499999998</v>
      </c>
      <c r="N10" s="303"/>
    </row>
    <row r="11" spans="1:14" s="29" customFormat="1" ht="150">
      <c r="A11" s="293">
        <v>4</v>
      </c>
      <c r="B11" s="294" t="s">
        <v>503</v>
      </c>
      <c r="C11" s="295" t="s">
        <v>504</v>
      </c>
      <c r="D11" s="295" t="s">
        <v>505</v>
      </c>
      <c r="E11" s="296" t="s">
        <v>496</v>
      </c>
      <c r="F11" s="297">
        <v>50000</v>
      </c>
      <c r="G11" s="298">
        <f t="shared" si="0"/>
        <v>50000</v>
      </c>
      <c r="H11" s="299">
        <v>43572.708333333299</v>
      </c>
      <c r="I11" s="300">
        <v>0.6</v>
      </c>
      <c r="J11" s="301">
        <v>0</v>
      </c>
      <c r="K11" s="302">
        <v>0</v>
      </c>
      <c r="L11" s="302">
        <v>0</v>
      </c>
      <c r="M11" s="302">
        <f t="shared" si="1"/>
        <v>50000</v>
      </c>
      <c r="N11" s="303"/>
    </row>
    <row r="12" spans="1:14" s="29" customFormat="1" ht="135">
      <c r="A12" s="293">
        <v>5</v>
      </c>
      <c r="B12" s="294" t="s">
        <v>506</v>
      </c>
      <c r="C12" s="295" t="s">
        <v>507</v>
      </c>
      <c r="D12" s="304" t="s">
        <v>508</v>
      </c>
      <c r="E12" s="296" t="s">
        <v>496</v>
      </c>
      <c r="F12" s="297">
        <v>57245.737499999996</v>
      </c>
      <c r="G12" s="298">
        <f t="shared" si="0"/>
        <v>57245.737499999996</v>
      </c>
      <c r="H12" s="299">
        <v>43494.708333333299</v>
      </c>
      <c r="I12" s="300">
        <v>1</v>
      </c>
      <c r="J12" s="301">
        <v>0</v>
      </c>
      <c r="K12" s="302">
        <v>0</v>
      </c>
      <c r="L12" s="302">
        <v>0</v>
      </c>
      <c r="M12" s="302">
        <f t="shared" si="1"/>
        <v>57245.737499999996</v>
      </c>
      <c r="N12" s="305"/>
    </row>
    <row r="13" spans="1:14" s="29" customFormat="1" ht="165">
      <c r="A13" s="293">
        <v>6</v>
      </c>
      <c r="B13" s="294" t="s">
        <v>509</v>
      </c>
      <c r="C13" s="295" t="s">
        <v>510</v>
      </c>
      <c r="D13" s="295" t="s">
        <v>511</v>
      </c>
      <c r="E13" s="296" t="s">
        <v>496</v>
      </c>
      <c r="F13" s="297">
        <v>809623.8885</v>
      </c>
      <c r="G13" s="298">
        <f t="shared" si="0"/>
        <v>809623.8885</v>
      </c>
      <c r="H13" s="299">
        <v>43621.708333333299</v>
      </c>
      <c r="I13" s="300">
        <v>1</v>
      </c>
      <c r="J13" s="301">
        <v>0</v>
      </c>
      <c r="K13" s="302">
        <v>0</v>
      </c>
      <c r="L13" s="302">
        <v>0</v>
      </c>
      <c r="M13" s="302">
        <f t="shared" si="1"/>
        <v>809623.8885</v>
      </c>
      <c r="N13" s="303"/>
    </row>
    <row r="14" spans="1:14" s="29" customFormat="1" ht="135">
      <c r="A14" s="293">
        <v>7</v>
      </c>
      <c r="B14" s="294" t="s">
        <v>512</v>
      </c>
      <c r="C14" s="295" t="s">
        <v>513</v>
      </c>
      <c r="D14" s="295" t="s">
        <v>514</v>
      </c>
      <c r="E14" s="296" t="s">
        <v>496</v>
      </c>
      <c r="F14" s="297">
        <v>180000</v>
      </c>
      <c r="G14" s="298">
        <f t="shared" si="0"/>
        <v>180000</v>
      </c>
      <c r="H14" s="299">
        <v>43557.708333333299</v>
      </c>
      <c r="I14" s="300">
        <v>1</v>
      </c>
      <c r="J14" s="301">
        <v>0.08</v>
      </c>
      <c r="K14" s="302">
        <v>0</v>
      </c>
      <c r="L14" s="302">
        <v>0</v>
      </c>
      <c r="M14" s="302">
        <f t="shared" si="1"/>
        <v>180000</v>
      </c>
      <c r="N14" s="303"/>
    </row>
    <row r="15" spans="1:14" s="29" customFormat="1" ht="135">
      <c r="A15" s="293">
        <v>8</v>
      </c>
      <c r="B15" s="294" t="s">
        <v>515</v>
      </c>
      <c r="C15" s="295" t="s">
        <v>516</v>
      </c>
      <c r="D15" s="304" t="s">
        <v>517</v>
      </c>
      <c r="E15" s="296" t="s">
        <v>496</v>
      </c>
      <c r="F15" s="297">
        <v>23410.128000000001</v>
      </c>
      <c r="G15" s="298">
        <f t="shared" si="0"/>
        <v>23410.128000000001</v>
      </c>
      <c r="H15" s="299">
        <v>44384.5</v>
      </c>
      <c r="I15" s="300">
        <v>0.3</v>
      </c>
      <c r="J15" s="301">
        <v>0</v>
      </c>
      <c r="K15" s="302">
        <v>0</v>
      </c>
      <c r="L15" s="302">
        <v>0</v>
      </c>
      <c r="M15" s="302">
        <f t="shared" si="1"/>
        <v>23410.128000000001</v>
      </c>
      <c r="N15" s="303"/>
    </row>
    <row r="16" spans="1:14" s="29" customFormat="1" ht="120">
      <c r="A16" s="293">
        <v>9</v>
      </c>
      <c r="B16" s="294" t="s">
        <v>518</v>
      </c>
      <c r="C16" s="295" t="s">
        <v>519</v>
      </c>
      <c r="D16" s="295" t="s">
        <v>520</v>
      </c>
      <c r="E16" s="296" t="s">
        <v>496</v>
      </c>
      <c r="F16" s="297">
        <v>25803.383999999998</v>
      </c>
      <c r="G16" s="298">
        <f t="shared" si="0"/>
        <v>25803.383999999998</v>
      </c>
      <c r="H16" s="299">
        <v>43865.708333333299</v>
      </c>
      <c r="I16" s="300">
        <v>0.3</v>
      </c>
      <c r="J16" s="301">
        <v>0</v>
      </c>
      <c r="K16" s="302">
        <v>0</v>
      </c>
      <c r="L16" s="302">
        <v>0</v>
      </c>
      <c r="M16" s="302">
        <f t="shared" si="1"/>
        <v>25803.383999999998</v>
      </c>
      <c r="N16" s="303"/>
    </row>
    <row r="17" spans="1:14" s="29" customFormat="1" ht="105">
      <c r="A17" s="293">
        <v>10</v>
      </c>
      <c r="B17" s="294" t="s">
        <v>521</v>
      </c>
      <c r="C17" s="295" t="s">
        <v>522</v>
      </c>
      <c r="D17" s="295" t="s">
        <v>523</v>
      </c>
      <c r="E17" s="296" t="s">
        <v>496</v>
      </c>
      <c r="F17" s="297">
        <v>500000</v>
      </c>
      <c r="G17" s="298">
        <f t="shared" si="0"/>
        <v>500000</v>
      </c>
      <c r="H17" s="299">
        <v>43836.708333333299</v>
      </c>
      <c r="I17" s="300">
        <v>0.3</v>
      </c>
      <c r="J17" s="301">
        <v>0</v>
      </c>
      <c r="K17" s="302">
        <v>0</v>
      </c>
      <c r="L17" s="302">
        <v>0</v>
      </c>
      <c r="M17" s="302">
        <f t="shared" si="1"/>
        <v>500000</v>
      </c>
      <c r="N17" s="303"/>
    </row>
    <row r="18" spans="1:14" s="29" customFormat="1" ht="120">
      <c r="A18" s="293">
        <v>11</v>
      </c>
      <c r="B18" s="294" t="s">
        <v>524</v>
      </c>
      <c r="C18" s="295" t="s">
        <v>525</v>
      </c>
      <c r="D18" s="295" t="s">
        <v>526</v>
      </c>
      <c r="E18" s="296" t="s">
        <v>496</v>
      </c>
      <c r="F18" s="297">
        <v>75782.466</v>
      </c>
      <c r="G18" s="298">
        <f t="shared" si="0"/>
        <v>75782.466</v>
      </c>
      <c r="H18" s="299">
        <v>43378.708333333299</v>
      </c>
      <c r="I18" s="300">
        <v>1</v>
      </c>
      <c r="J18" s="301">
        <v>0.25</v>
      </c>
      <c r="K18" s="302">
        <v>0</v>
      </c>
      <c r="L18" s="302">
        <v>0</v>
      </c>
      <c r="M18" s="302">
        <f t="shared" si="1"/>
        <v>75782.466</v>
      </c>
      <c r="N18" s="303"/>
    </row>
    <row r="19" spans="1:14" s="29" customFormat="1" ht="195">
      <c r="A19" s="293">
        <v>12</v>
      </c>
      <c r="B19" s="294" t="s">
        <v>527</v>
      </c>
      <c r="C19" s="295" t="s">
        <v>528</v>
      </c>
      <c r="D19" s="295" t="s">
        <v>529</v>
      </c>
      <c r="E19" s="296" t="s">
        <v>496</v>
      </c>
      <c r="F19" s="297">
        <v>500891.08500000002</v>
      </c>
      <c r="G19" s="298">
        <f t="shared" si="0"/>
        <v>500891.08500000002</v>
      </c>
      <c r="H19" s="299">
        <v>43585.708333333299</v>
      </c>
      <c r="I19" s="300">
        <v>1</v>
      </c>
      <c r="J19" s="301">
        <v>0</v>
      </c>
      <c r="K19" s="302">
        <v>0</v>
      </c>
      <c r="L19" s="302">
        <v>0</v>
      </c>
      <c r="M19" s="302">
        <f t="shared" si="1"/>
        <v>500891.08500000002</v>
      </c>
      <c r="N19" s="303"/>
    </row>
    <row r="20" spans="1:14" s="29" customFormat="1" ht="105">
      <c r="A20" s="293">
        <v>13</v>
      </c>
      <c r="B20" s="294" t="s">
        <v>530</v>
      </c>
      <c r="C20" s="295" t="s">
        <v>531</v>
      </c>
      <c r="D20" s="295" t="s">
        <v>532</v>
      </c>
      <c r="E20" s="296" t="s">
        <v>496</v>
      </c>
      <c r="F20" s="297">
        <v>126919.24800000001</v>
      </c>
      <c r="G20" s="298">
        <f t="shared" si="0"/>
        <v>126919.24800000001</v>
      </c>
      <c r="H20" s="299">
        <v>44006.708333333299</v>
      </c>
      <c r="I20" s="300">
        <v>1</v>
      </c>
      <c r="J20" s="301">
        <v>0</v>
      </c>
      <c r="K20" s="302">
        <v>0</v>
      </c>
      <c r="L20" s="302">
        <v>0</v>
      </c>
      <c r="M20" s="302">
        <f t="shared" si="1"/>
        <v>126919.24800000001</v>
      </c>
      <c r="N20" s="303"/>
    </row>
    <row r="21" spans="1:14" s="29" customFormat="1" ht="105">
      <c r="A21" s="293">
        <v>14</v>
      </c>
      <c r="B21" s="294" t="s">
        <v>533</v>
      </c>
      <c r="C21" s="295" t="s">
        <v>534</v>
      </c>
      <c r="D21" s="295" t="s">
        <v>535</v>
      </c>
      <c r="E21" s="296" t="s">
        <v>496</v>
      </c>
      <c r="F21" s="297">
        <v>65290.767</v>
      </c>
      <c r="G21" s="298">
        <f t="shared" si="0"/>
        <v>65290.767</v>
      </c>
      <c r="H21" s="299">
        <v>44006.5</v>
      </c>
      <c r="I21" s="300">
        <v>1</v>
      </c>
      <c r="J21" s="301">
        <v>0</v>
      </c>
      <c r="K21" s="302">
        <v>0</v>
      </c>
      <c r="L21" s="302">
        <v>0</v>
      </c>
      <c r="M21" s="302">
        <f t="shared" si="1"/>
        <v>65290.767</v>
      </c>
      <c r="N21" s="303"/>
    </row>
    <row r="22" spans="1:14" s="29" customFormat="1" ht="120">
      <c r="A22" s="293">
        <v>15</v>
      </c>
      <c r="B22" s="294" t="s">
        <v>536</v>
      </c>
      <c r="C22" s="295" t="s">
        <v>537</v>
      </c>
      <c r="D22" s="306" t="s">
        <v>538</v>
      </c>
      <c r="E22" s="296" t="s">
        <v>496</v>
      </c>
      <c r="F22" s="297">
        <v>224828.69850000009</v>
      </c>
      <c r="G22" s="298">
        <f t="shared" si="0"/>
        <v>224828.69850000009</v>
      </c>
      <c r="H22" s="299">
        <v>43056</v>
      </c>
      <c r="I22" s="300">
        <v>1</v>
      </c>
      <c r="J22" s="301">
        <v>0.65</v>
      </c>
      <c r="K22" s="302">
        <v>0</v>
      </c>
      <c r="L22" s="302">
        <v>0</v>
      </c>
      <c r="M22" s="302">
        <f t="shared" si="1"/>
        <v>224828.69850000009</v>
      </c>
      <c r="N22" s="303"/>
    </row>
    <row r="23" spans="1:14" s="29" customFormat="1" ht="90">
      <c r="A23" s="293">
        <v>16</v>
      </c>
      <c r="B23" s="294" t="s">
        <v>539</v>
      </c>
      <c r="C23" s="295" t="s">
        <v>540</v>
      </c>
      <c r="D23" s="295" t="s">
        <v>541</v>
      </c>
      <c r="E23" s="296" t="s">
        <v>496</v>
      </c>
      <c r="F23" s="297">
        <v>93705.800999999992</v>
      </c>
      <c r="G23" s="298">
        <f t="shared" si="0"/>
        <v>93705.800999999992</v>
      </c>
      <c r="H23" s="299">
        <v>43158.5</v>
      </c>
      <c r="I23" s="300">
        <v>1</v>
      </c>
      <c r="J23" s="301">
        <v>0.42</v>
      </c>
      <c r="K23" s="302">
        <v>0</v>
      </c>
      <c r="L23" s="302">
        <v>0</v>
      </c>
      <c r="M23" s="302">
        <f t="shared" si="1"/>
        <v>93705.800999999992</v>
      </c>
      <c r="N23" s="303"/>
    </row>
    <row r="24" spans="1:14" s="29" customFormat="1" ht="120">
      <c r="A24" s="293">
        <v>17</v>
      </c>
      <c r="B24" s="294" t="s">
        <v>542</v>
      </c>
      <c r="C24" s="295" t="s">
        <v>543</v>
      </c>
      <c r="D24" s="295" t="s">
        <v>544</v>
      </c>
      <c r="E24" s="296" t="s">
        <v>496</v>
      </c>
      <c r="F24" s="297">
        <v>50000</v>
      </c>
      <c r="G24" s="298">
        <f t="shared" si="0"/>
        <v>50000</v>
      </c>
      <c r="H24" s="299">
        <v>43284.708333333299</v>
      </c>
      <c r="I24" s="300">
        <v>1</v>
      </c>
      <c r="J24" s="301">
        <v>0.24</v>
      </c>
      <c r="K24" s="302">
        <v>0</v>
      </c>
      <c r="L24" s="302">
        <v>0</v>
      </c>
      <c r="M24" s="302">
        <f t="shared" si="1"/>
        <v>50000</v>
      </c>
      <c r="N24" s="303"/>
    </row>
    <row r="25" spans="1:14" s="29" customFormat="1" ht="150">
      <c r="A25" s="293">
        <v>18</v>
      </c>
      <c r="B25" s="294" t="s">
        <v>545</v>
      </c>
      <c r="C25" s="295" t="s">
        <v>546</v>
      </c>
      <c r="D25" s="295" t="s">
        <v>547</v>
      </c>
      <c r="E25" s="296" t="s">
        <v>496</v>
      </c>
      <c r="F25" s="297">
        <v>60000</v>
      </c>
      <c r="G25" s="298">
        <f t="shared" si="0"/>
        <v>60000</v>
      </c>
      <c r="H25" s="299">
        <v>43957.708333333299</v>
      </c>
      <c r="I25" s="300">
        <v>0.1</v>
      </c>
      <c r="J25" s="301">
        <v>0</v>
      </c>
      <c r="K25" s="302">
        <v>0</v>
      </c>
      <c r="L25" s="302">
        <v>0</v>
      </c>
      <c r="M25" s="302">
        <f t="shared" si="1"/>
        <v>60000</v>
      </c>
      <c r="N25" s="303"/>
    </row>
    <row r="26" spans="1:14" s="29" customFormat="1" ht="120">
      <c r="A26" s="293">
        <v>19</v>
      </c>
      <c r="B26" s="294" t="s">
        <v>548</v>
      </c>
      <c r="C26" s="295" t="s">
        <v>549</v>
      </c>
      <c r="D26" s="295" t="s">
        <v>550</v>
      </c>
      <c r="E26" s="296" t="s">
        <v>496</v>
      </c>
      <c r="F26" s="297">
        <v>25000</v>
      </c>
      <c r="G26" s="298">
        <f t="shared" si="0"/>
        <v>25000</v>
      </c>
      <c r="H26" s="299">
        <v>43788.708333333299</v>
      </c>
      <c r="I26" s="300">
        <v>0.3</v>
      </c>
      <c r="J26" s="301">
        <v>0</v>
      </c>
      <c r="K26" s="302">
        <v>0</v>
      </c>
      <c r="L26" s="302">
        <v>0</v>
      </c>
      <c r="M26" s="302">
        <f t="shared" si="1"/>
        <v>25000</v>
      </c>
      <c r="N26" s="303"/>
    </row>
    <row r="27" spans="1:14" s="29" customFormat="1" ht="135">
      <c r="A27" s="293">
        <v>20</v>
      </c>
      <c r="B27" s="294" t="s">
        <v>551</v>
      </c>
      <c r="C27" s="295" t="s">
        <v>552</v>
      </c>
      <c r="D27" s="304" t="s">
        <v>553</v>
      </c>
      <c r="E27" s="296" t="s">
        <v>496</v>
      </c>
      <c r="F27" s="297">
        <v>153638.97149999999</v>
      </c>
      <c r="G27" s="298">
        <f t="shared" si="0"/>
        <v>153638.97149999999</v>
      </c>
      <c r="H27" s="299">
        <v>43761.708333333299</v>
      </c>
      <c r="I27" s="300">
        <v>0.6</v>
      </c>
      <c r="J27" s="301">
        <v>0</v>
      </c>
      <c r="K27" s="302">
        <v>0</v>
      </c>
      <c r="L27" s="302">
        <v>0</v>
      </c>
      <c r="M27" s="302">
        <f t="shared" si="1"/>
        <v>153638.97149999999</v>
      </c>
      <c r="N27" s="303"/>
    </row>
    <row r="28" spans="1:14" s="29" customFormat="1" ht="120">
      <c r="A28" s="293">
        <v>21</v>
      </c>
      <c r="B28" s="294" t="s">
        <v>554</v>
      </c>
      <c r="C28" s="295" t="s">
        <v>555</v>
      </c>
      <c r="D28" s="295" t="s">
        <v>556</v>
      </c>
      <c r="E28" s="296" t="s">
        <v>496</v>
      </c>
      <c r="F28" s="297">
        <v>73704.406499999997</v>
      </c>
      <c r="G28" s="298">
        <f t="shared" si="0"/>
        <v>73704.406499999997</v>
      </c>
      <c r="H28" s="299">
        <v>43307.708333333299</v>
      </c>
      <c r="I28" s="300">
        <v>1</v>
      </c>
      <c r="J28" s="301">
        <v>0</v>
      </c>
      <c r="K28" s="302">
        <v>0</v>
      </c>
      <c r="L28" s="302">
        <v>0</v>
      </c>
      <c r="M28" s="302">
        <f t="shared" si="1"/>
        <v>73704.406499999997</v>
      </c>
      <c r="N28" s="303"/>
    </row>
    <row r="29" spans="1:14" s="29" customFormat="1" ht="165">
      <c r="A29" s="293">
        <v>22</v>
      </c>
      <c r="B29" s="294" t="s">
        <v>557</v>
      </c>
      <c r="C29" s="295" t="s">
        <v>558</v>
      </c>
      <c r="D29" s="295" t="s">
        <v>559</v>
      </c>
      <c r="E29" s="296" t="s">
        <v>496</v>
      </c>
      <c r="F29" s="297">
        <v>25000</v>
      </c>
      <c r="G29" s="298">
        <f t="shared" si="0"/>
        <v>25000</v>
      </c>
      <c r="H29" s="299">
        <v>43622.708333333299</v>
      </c>
      <c r="I29" s="300">
        <v>0.6</v>
      </c>
      <c r="J29" s="301">
        <v>0</v>
      </c>
      <c r="K29" s="302">
        <v>0</v>
      </c>
      <c r="L29" s="302">
        <v>0</v>
      </c>
      <c r="M29" s="302">
        <f t="shared" si="1"/>
        <v>25000</v>
      </c>
      <c r="N29" s="303"/>
    </row>
    <row r="30" spans="1:14" s="29" customFormat="1" ht="135">
      <c r="A30" s="293">
        <v>23</v>
      </c>
      <c r="B30" s="294" t="s">
        <v>560</v>
      </c>
      <c r="C30" s="295" t="s">
        <v>561</v>
      </c>
      <c r="D30" s="295" t="s">
        <v>562</v>
      </c>
      <c r="E30" s="296" t="s">
        <v>496</v>
      </c>
      <c r="F30" s="297">
        <v>68405.426999999996</v>
      </c>
      <c r="G30" s="298">
        <f t="shared" si="0"/>
        <v>68405.426999999996</v>
      </c>
      <c r="H30" s="299">
        <v>43949.708333333299</v>
      </c>
      <c r="I30" s="300">
        <v>0.1</v>
      </c>
      <c r="J30" s="301">
        <v>0</v>
      </c>
      <c r="K30" s="302">
        <v>0</v>
      </c>
      <c r="L30" s="302">
        <v>0</v>
      </c>
      <c r="M30" s="302">
        <f t="shared" si="1"/>
        <v>68405.426999999996</v>
      </c>
      <c r="N30" s="305"/>
    </row>
    <row r="31" spans="1:14" s="29" customFormat="1" ht="135">
      <c r="A31" s="293">
        <v>24</v>
      </c>
      <c r="B31" s="294" t="s">
        <v>563</v>
      </c>
      <c r="C31" s="295" t="s">
        <v>564</v>
      </c>
      <c r="D31" s="307" t="s">
        <v>565</v>
      </c>
      <c r="E31" s="296" t="s">
        <v>496</v>
      </c>
      <c r="F31" s="297">
        <v>50000</v>
      </c>
      <c r="G31" s="298">
        <f t="shared" si="0"/>
        <v>50000</v>
      </c>
      <c r="H31" s="299">
        <v>43130</v>
      </c>
      <c r="I31" s="300">
        <v>1</v>
      </c>
      <c r="J31" s="301">
        <v>0</v>
      </c>
      <c r="K31" s="302">
        <v>0</v>
      </c>
      <c r="L31" s="302">
        <v>0</v>
      </c>
      <c r="M31" s="302">
        <f t="shared" si="1"/>
        <v>50000</v>
      </c>
      <c r="N31" s="303"/>
    </row>
    <row r="32" spans="1:14" s="29" customFormat="1" ht="90">
      <c r="A32" s="293">
        <v>25</v>
      </c>
      <c r="B32" s="294" t="s">
        <v>566</v>
      </c>
      <c r="C32" s="295" t="s">
        <v>567</v>
      </c>
      <c r="D32" s="295" t="s">
        <v>568</v>
      </c>
      <c r="E32" s="296" t="s">
        <v>496</v>
      </c>
      <c r="F32" s="297">
        <v>57765.06749999999</v>
      </c>
      <c r="G32" s="298">
        <f t="shared" si="0"/>
        <v>57765.06749999999</v>
      </c>
      <c r="H32" s="299">
        <v>43070</v>
      </c>
      <c r="I32" s="300">
        <v>1</v>
      </c>
      <c r="J32" s="301">
        <v>0.39</v>
      </c>
      <c r="K32" s="302">
        <v>0</v>
      </c>
      <c r="L32" s="302">
        <v>0</v>
      </c>
      <c r="M32" s="302">
        <f t="shared" si="1"/>
        <v>57765.06749999999</v>
      </c>
      <c r="N32" s="303"/>
    </row>
    <row r="33" spans="1:14" s="29" customFormat="1" ht="165">
      <c r="A33" s="293">
        <v>26</v>
      </c>
      <c r="B33" s="294" t="s">
        <v>569</v>
      </c>
      <c r="C33" s="295" t="s">
        <v>570</v>
      </c>
      <c r="D33" s="306" t="s">
        <v>571</v>
      </c>
      <c r="E33" s="296" t="s">
        <v>496</v>
      </c>
      <c r="F33" s="297">
        <v>325000</v>
      </c>
      <c r="G33" s="298">
        <f t="shared" si="0"/>
        <v>325000</v>
      </c>
      <c r="H33" s="299">
        <v>43097</v>
      </c>
      <c r="I33" s="300">
        <v>1</v>
      </c>
      <c r="J33" s="301">
        <v>0.65</v>
      </c>
      <c r="K33" s="302">
        <v>0</v>
      </c>
      <c r="L33" s="302">
        <v>0</v>
      </c>
      <c r="M33" s="302">
        <f t="shared" si="1"/>
        <v>325000</v>
      </c>
      <c r="N33" s="303"/>
    </row>
    <row r="34" spans="1:14" s="29" customFormat="1" ht="135">
      <c r="A34" s="293">
        <v>27</v>
      </c>
      <c r="B34" s="294" t="s">
        <v>572</v>
      </c>
      <c r="C34" s="295" t="s">
        <v>573</v>
      </c>
      <c r="D34" s="295" t="s">
        <v>574</v>
      </c>
      <c r="E34" s="296" t="s">
        <v>496</v>
      </c>
      <c r="F34" s="297">
        <v>396567.44699999999</v>
      </c>
      <c r="G34" s="298">
        <f t="shared" si="0"/>
        <v>396567.44699999999</v>
      </c>
      <c r="H34" s="299">
        <v>43438.708333333299</v>
      </c>
      <c r="I34" s="300">
        <v>1</v>
      </c>
      <c r="J34" s="301">
        <v>0</v>
      </c>
      <c r="K34" s="302">
        <v>0</v>
      </c>
      <c r="L34" s="302">
        <v>0</v>
      </c>
      <c r="M34" s="302">
        <f t="shared" si="1"/>
        <v>396567.44699999999</v>
      </c>
      <c r="N34" s="305"/>
    </row>
    <row r="35" spans="1:14" s="29" customFormat="1" ht="165">
      <c r="A35" s="293">
        <v>28</v>
      </c>
      <c r="B35" s="294" t="s">
        <v>575</v>
      </c>
      <c r="C35" s="295" t="s">
        <v>576</v>
      </c>
      <c r="D35" s="295" t="s">
        <v>577</v>
      </c>
      <c r="E35" s="296" t="s">
        <v>496</v>
      </c>
      <c r="F35" s="297">
        <v>25000</v>
      </c>
      <c r="G35" s="298">
        <f t="shared" si="0"/>
        <v>25000</v>
      </c>
      <c r="H35" s="299">
        <v>43152.708333333299</v>
      </c>
      <c r="I35" s="300">
        <v>0.6</v>
      </c>
      <c r="J35" s="301">
        <v>0</v>
      </c>
      <c r="K35" s="302">
        <v>0</v>
      </c>
      <c r="L35" s="302">
        <v>0</v>
      </c>
      <c r="M35" s="302">
        <f t="shared" si="1"/>
        <v>25000</v>
      </c>
      <c r="N35" s="303"/>
    </row>
    <row r="36" spans="1:14" s="29" customFormat="1" ht="135">
      <c r="A36" s="293">
        <v>29</v>
      </c>
      <c r="B36" s="294" t="s">
        <v>578</v>
      </c>
      <c r="C36" s="295" t="s">
        <v>579</v>
      </c>
      <c r="D36" s="295" t="s">
        <v>580</v>
      </c>
      <c r="E36" s="296" t="s">
        <v>496</v>
      </c>
      <c r="F36" s="297">
        <v>224748.54300000001</v>
      </c>
      <c r="G36" s="298">
        <f t="shared" si="0"/>
        <v>224748.54300000001</v>
      </c>
      <c r="H36" s="299">
        <v>43607.708333333299</v>
      </c>
      <c r="I36" s="300">
        <v>1</v>
      </c>
      <c r="J36" s="301">
        <v>0</v>
      </c>
      <c r="K36" s="302">
        <v>0</v>
      </c>
      <c r="L36" s="302">
        <v>0</v>
      </c>
      <c r="M36" s="302">
        <f t="shared" si="1"/>
        <v>224748.54300000001</v>
      </c>
      <c r="N36" s="303"/>
    </row>
    <row r="37" spans="1:14" s="29" customFormat="1" ht="120">
      <c r="A37" s="293">
        <v>30</v>
      </c>
      <c r="B37" s="294" t="s">
        <v>581</v>
      </c>
      <c r="C37" s="295" t="s">
        <v>582</v>
      </c>
      <c r="D37" s="295" t="s">
        <v>583</v>
      </c>
      <c r="E37" s="296" t="s">
        <v>496</v>
      </c>
      <c r="F37" s="297">
        <v>52419.699000000001</v>
      </c>
      <c r="G37" s="298">
        <f t="shared" si="0"/>
        <v>52419.699000000001</v>
      </c>
      <c r="H37" s="299">
        <v>43336.708333333299</v>
      </c>
      <c r="I37" s="300">
        <v>1</v>
      </c>
      <c r="J37" s="301">
        <v>0</v>
      </c>
      <c r="K37" s="302">
        <v>0</v>
      </c>
      <c r="L37" s="302">
        <v>0</v>
      </c>
      <c r="M37" s="302">
        <f t="shared" si="1"/>
        <v>52419.699000000001</v>
      </c>
      <c r="N37" s="303"/>
    </row>
    <row r="38" spans="1:14" s="29" customFormat="1" ht="90">
      <c r="A38" s="293">
        <v>31</v>
      </c>
      <c r="B38" s="294" t="s">
        <v>584</v>
      </c>
      <c r="C38" s="295" t="s">
        <v>585</v>
      </c>
      <c r="D38" s="295" t="s">
        <v>583</v>
      </c>
      <c r="E38" s="296" t="s">
        <v>496</v>
      </c>
      <c r="F38" s="297">
        <v>130000</v>
      </c>
      <c r="G38" s="298">
        <f t="shared" si="0"/>
        <v>130000</v>
      </c>
      <c r="H38" s="299">
        <v>43329.708333333299</v>
      </c>
      <c r="I38" s="300">
        <v>1</v>
      </c>
      <c r="J38" s="301">
        <v>0</v>
      </c>
      <c r="K38" s="302">
        <v>0</v>
      </c>
      <c r="L38" s="302">
        <v>0</v>
      </c>
      <c r="M38" s="302">
        <f t="shared" si="1"/>
        <v>130000</v>
      </c>
      <c r="N38" s="303"/>
    </row>
    <row r="39" spans="1:14" s="29" customFormat="1" ht="90">
      <c r="A39" s="293">
        <v>32</v>
      </c>
      <c r="B39" s="294" t="s">
        <v>586</v>
      </c>
      <c r="C39" s="295" t="s">
        <v>587</v>
      </c>
      <c r="D39" s="295" t="s">
        <v>583</v>
      </c>
      <c r="E39" s="296" t="s">
        <v>496</v>
      </c>
      <c r="F39" s="297">
        <v>25000</v>
      </c>
      <c r="G39" s="298">
        <f t="shared" si="0"/>
        <v>25000</v>
      </c>
      <c r="H39" s="299">
        <v>43280.708333333299</v>
      </c>
      <c r="I39" s="300">
        <v>1</v>
      </c>
      <c r="J39" s="301">
        <v>0</v>
      </c>
      <c r="K39" s="302">
        <v>0</v>
      </c>
      <c r="L39" s="302">
        <v>0</v>
      </c>
      <c r="M39" s="302">
        <f t="shared" si="1"/>
        <v>25000</v>
      </c>
      <c r="N39" s="303"/>
    </row>
    <row r="40" spans="1:14" s="29" customFormat="1" ht="180">
      <c r="A40" s="293">
        <v>33</v>
      </c>
      <c r="B40" s="294" t="s">
        <v>588</v>
      </c>
      <c r="C40" s="295" t="s">
        <v>589</v>
      </c>
      <c r="D40" s="295" t="s">
        <v>590</v>
      </c>
      <c r="E40" s="296" t="s">
        <v>496</v>
      </c>
      <c r="F40" s="297">
        <v>327367.15950000001</v>
      </c>
      <c r="G40" s="298">
        <f t="shared" si="0"/>
        <v>327367.15950000001</v>
      </c>
      <c r="H40" s="299">
        <v>43705.708333333299</v>
      </c>
      <c r="I40" s="300">
        <v>1</v>
      </c>
      <c r="J40" s="301">
        <v>0.12</v>
      </c>
      <c r="K40" s="302">
        <v>0</v>
      </c>
      <c r="L40" s="302">
        <v>0</v>
      </c>
      <c r="M40" s="302">
        <f t="shared" si="1"/>
        <v>327367.15950000001</v>
      </c>
      <c r="N40" s="303"/>
    </row>
    <row r="41" spans="1:14" s="29" customFormat="1" ht="165">
      <c r="A41" s="293">
        <v>34</v>
      </c>
      <c r="B41" s="294" t="s">
        <v>591</v>
      </c>
      <c r="C41" s="295" t="s">
        <v>592</v>
      </c>
      <c r="D41" s="295" t="s">
        <v>593</v>
      </c>
      <c r="E41" s="296" t="s">
        <v>496</v>
      </c>
      <c r="F41" s="297">
        <v>25000</v>
      </c>
      <c r="G41" s="298">
        <f t="shared" si="0"/>
        <v>25000</v>
      </c>
      <c r="H41" s="299">
        <v>44552.708333333299</v>
      </c>
      <c r="I41" s="300">
        <v>0.1</v>
      </c>
      <c r="J41" s="301">
        <v>0</v>
      </c>
      <c r="K41" s="302">
        <v>0</v>
      </c>
      <c r="L41" s="302">
        <v>0</v>
      </c>
      <c r="M41" s="302">
        <f t="shared" si="1"/>
        <v>25000</v>
      </c>
      <c r="N41" s="303"/>
    </row>
    <row r="42" spans="1:14" s="29" customFormat="1" ht="150">
      <c r="A42" s="293">
        <v>35</v>
      </c>
      <c r="B42" s="294" t="s">
        <v>594</v>
      </c>
      <c r="C42" s="295" t="s">
        <v>595</v>
      </c>
      <c r="D42" s="295" t="s">
        <v>596</v>
      </c>
      <c r="E42" s="296" t="s">
        <v>496</v>
      </c>
      <c r="F42" s="297">
        <v>25000</v>
      </c>
      <c r="G42" s="298">
        <f t="shared" si="0"/>
        <v>25000</v>
      </c>
      <c r="H42" s="299">
        <v>43449.708333333299</v>
      </c>
      <c r="I42" s="300">
        <v>0.6</v>
      </c>
      <c r="J42" s="301">
        <v>0</v>
      </c>
      <c r="K42" s="302">
        <v>0</v>
      </c>
      <c r="L42" s="302">
        <v>0</v>
      </c>
      <c r="M42" s="302">
        <f t="shared" si="1"/>
        <v>25000</v>
      </c>
      <c r="N42" s="303"/>
    </row>
    <row r="43" spans="1:14" s="29" customFormat="1" ht="135">
      <c r="A43" s="293">
        <v>36</v>
      </c>
      <c r="B43" s="294" t="s">
        <v>597</v>
      </c>
      <c r="C43" s="295" t="s">
        <v>598</v>
      </c>
      <c r="D43" s="295" t="s">
        <v>599</v>
      </c>
      <c r="E43" s="296" t="s">
        <v>496</v>
      </c>
      <c r="F43" s="297">
        <v>41338.35</v>
      </c>
      <c r="G43" s="298">
        <f t="shared" si="0"/>
        <v>41338.35</v>
      </c>
      <c r="H43" s="299">
        <v>43299.708333333299</v>
      </c>
      <c r="I43" s="300">
        <v>1</v>
      </c>
      <c r="J43" s="301">
        <v>0.28000000000000003</v>
      </c>
      <c r="K43" s="302">
        <v>0</v>
      </c>
      <c r="L43" s="302">
        <v>0</v>
      </c>
      <c r="M43" s="302">
        <f t="shared" si="1"/>
        <v>41338.35</v>
      </c>
      <c r="N43" s="303"/>
    </row>
    <row r="44" spans="1:14" s="29" customFormat="1" ht="120">
      <c r="A44" s="293">
        <v>37</v>
      </c>
      <c r="B44" s="294" t="s">
        <v>600</v>
      </c>
      <c r="C44" s="295" t="s">
        <v>601</v>
      </c>
      <c r="D44" s="295" t="s">
        <v>602</v>
      </c>
      <c r="E44" s="296" t="s">
        <v>496</v>
      </c>
      <c r="F44" s="297">
        <v>150000</v>
      </c>
      <c r="G44" s="298">
        <f t="shared" si="0"/>
        <v>150000</v>
      </c>
      <c r="H44" s="299">
        <v>43340.708333333299</v>
      </c>
      <c r="I44" s="300">
        <v>1</v>
      </c>
      <c r="J44" s="301">
        <v>0.23</v>
      </c>
      <c r="K44" s="302">
        <v>0</v>
      </c>
      <c r="L44" s="302">
        <v>0</v>
      </c>
      <c r="M44" s="302">
        <f t="shared" si="1"/>
        <v>150000</v>
      </c>
      <c r="N44" s="303"/>
    </row>
    <row r="45" spans="1:14" s="29" customFormat="1" ht="105">
      <c r="A45" s="293">
        <v>38</v>
      </c>
      <c r="B45" s="294" t="s">
        <v>603</v>
      </c>
      <c r="C45" s="295" t="s">
        <v>604</v>
      </c>
      <c r="D45" s="295" t="s">
        <v>605</v>
      </c>
      <c r="E45" s="296" t="s">
        <v>496</v>
      </c>
      <c r="F45" s="297">
        <v>49072.646999999997</v>
      </c>
      <c r="G45" s="298">
        <f t="shared" si="0"/>
        <v>49072.646999999997</v>
      </c>
      <c r="H45" s="299">
        <v>43319.708333333299</v>
      </c>
      <c r="I45" s="300">
        <v>1</v>
      </c>
      <c r="J45" s="301">
        <v>0.01</v>
      </c>
      <c r="K45" s="302">
        <v>0</v>
      </c>
      <c r="L45" s="302">
        <v>0</v>
      </c>
      <c r="M45" s="302">
        <f t="shared" si="1"/>
        <v>49072.646999999997</v>
      </c>
      <c r="N45" s="303"/>
    </row>
    <row r="46" spans="1:14" s="29" customFormat="1" ht="120">
      <c r="A46" s="293">
        <v>39</v>
      </c>
      <c r="B46" s="294" t="s">
        <v>606</v>
      </c>
      <c r="C46" s="295" t="s">
        <v>607</v>
      </c>
      <c r="D46" s="295" t="s">
        <v>608</v>
      </c>
      <c r="E46" s="296" t="s">
        <v>496</v>
      </c>
      <c r="F46" s="297">
        <v>25000</v>
      </c>
      <c r="G46" s="298">
        <f t="shared" si="0"/>
        <v>25000</v>
      </c>
      <c r="H46" s="299">
        <v>43096.708333333299</v>
      </c>
      <c r="I46" s="300">
        <v>1</v>
      </c>
      <c r="J46" s="301">
        <v>0.76</v>
      </c>
      <c r="K46" s="302">
        <v>0</v>
      </c>
      <c r="L46" s="302">
        <v>0</v>
      </c>
      <c r="M46" s="302">
        <f t="shared" si="1"/>
        <v>25000</v>
      </c>
      <c r="N46" s="303"/>
    </row>
    <row r="47" spans="1:14" s="29" customFormat="1" ht="120">
      <c r="A47" s="293">
        <v>40</v>
      </c>
      <c r="B47" s="294" t="s">
        <v>609</v>
      </c>
      <c r="C47" s="295" t="s">
        <v>610</v>
      </c>
      <c r="D47" s="295" t="s">
        <v>611</v>
      </c>
      <c r="E47" s="296" t="s">
        <v>496</v>
      </c>
      <c r="F47" s="297">
        <v>70000</v>
      </c>
      <c r="G47" s="298">
        <f t="shared" si="0"/>
        <v>70000</v>
      </c>
      <c r="H47" s="299">
        <v>43357.708333333299</v>
      </c>
      <c r="I47" s="300">
        <v>1</v>
      </c>
      <c r="J47" s="301">
        <v>0</v>
      </c>
      <c r="K47" s="302">
        <v>0</v>
      </c>
      <c r="L47" s="302">
        <v>0</v>
      </c>
      <c r="M47" s="302">
        <f t="shared" si="1"/>
        <v>70000</v>
      </c>
      <c r="N47" s="303"/>
    </row>
    <row r="48" spans="1:14" s="29" customFormat="1" ht="90">
      <c r="A48" s="293">
        <v>41</v>
      </c>
      <c r="B48" s="294" t="s">
        <v>612</v>
      </c>
      <c r="C48" s="295" t="s">
        <v>613</v>
      </c>
      <c r="D48" s="295" t="s">
        <v>614</v>
      </c>
      <c r="E48" s="296" t="s">
        <v>496</v>
      </c>
      <c r="F48" s="297">
        <v>236087.12099999998</v>
      </c>
      <c r="G48" s="298">
        <f t="shared" si="0"/>
        <v>236087.12099999998</v>
      </c>
      <c r="H48" s="299">
        <v>43207.625</v>
      </c>
      <c r="I48" s="300">
        <v>1</v>
      </c>
      <c r="J48" s="301">
        <v>0.95</v>
      </c>
      <c r="K48" s="302">
        <v>0</v>
      </c>
      <c r="L48" s="302">
        <v>0</v>
      </c>
      <c r="M48" s="302">
        <f t="shared" si="1"/>
        <v>236087.12099999998</v>
      </c>
      <c r="N48" s="303"/>
    </row>
    <row r="49" spans="1:14" s="29" customFormat="1" ht="180">
      <c r="A49" s="293">
        <v>42</v>
      </c>
      <c r="B49" s="294" t="s">
        <v>615</v>
      </c>
      <c r="C49" s="295" t="s">
        <v>616</v>
      </c>
      <c r="D49" s="295" t="s">
        <v>617</v>
      </c>
      <c r="E49" s="296" t="s">
        <v>496</v>
      </c>
      <c r="F49" s="297">
        <v>452827.51050000003</v>
      </c>
      <c r="G49" s="298">
        <f t="shared" si="0"/>
        <v>452827.51050000003</v>
      </c>
      <c r="H49" s="299">
        <v>43531.708333333299</v>
      </c>
      <c r="I49" s="300">
        <v>1</v>
      </c>
      <c r="J49" s="301">
        <v>0.08</v>
      </c>
      <c r="K49" s="302">
        <v>0</v>
      </c>
      <c r="L49" s="302">
        <v>0</v>
      </c>
      <c r="M49" s="302">
        <f t="shared" si="1"/>
        <v>452827.51050000003</v>
      </c>
      <c r="N49" s="303"/>
    </row>
    <row r="50" spans="1:14" s="29" customFormat="1" ht="135">
      <c r="A50" s="293">
        <v>43</v>
      </c>
      <c r="B50" s="294" t="s">
        <v>618</v>
      </c>
      <c r="C50" s="295" t="s">
        <v>619</v>
      </c>
      <c r="D50" s="295" t="s">
        <v>620</v>
      </c>
      <c r="E50" s="296" t="s">
        <v>496</v>
      </c>
      <c r="F50" s="297">
        <v>50000</v>
      </c>
      <c r="G50" s="298">
        <f t="shared" si="0"/>
        <v>50000</v>
      </c>
      <c r="H50" s="299">
        <v>43090.708333333299</v>
      </c>
      <c r="I50" s="300">
        <v>1</v>
      </c>
      <c r="J50" s="301">
        <v>0.98</v>
      </c>
      <c r="K50" s="302">
        <v>0</v>
      </c>
      <c r="L50" s="302">
        <v>0</v>
      </c>
      <c r="M50" s="302">
        <f t="shared" si="1"/>
        <v>50000</v>
      </c>
      <c r="N50" s="303"/>
    </row>
    <row r="51" spans="1:14" s="29" customFormat="1" ht="105">
      <c r="A51" s="293">
        <v>44</v>
      </c>
      <c r="B51" s="294" t="s">
        <v>621</v>
      </c>
      <c r="C51" s="295" t="s">
        <v>622</v>
      </c>
      <c r="D51" s="295" t="s">
        <v>623</v>
      </c>
      <c r="E51" s="296" t="s">
        <v>496</v>
      </c>
      <c r="F51" s="297">
        <v>20400</v>
      </c>
      <c r="G51" s="298">
        <f t="shared" si="0"/>
        <v>20400</v>
      </c>
      <c r="H51" s="299">
        <v>43087.708333333299</v>
      </c>
      <c r="I51" s="300">
        <v>1</v>
      </c>
      <c r="J51" s="301">
        <v>0.17</v>
      </c>
      <c r="K51" s="302">
        <v>0</v>
      </c>
      <c r="L51" s="302">
        <v>0</v>
      </c>
      <c r="M51" s="302">
        <f t="shared" si="1"/>
        <v>20400</v>
      </c>
      <c r="N51" s="303"/>
    </row>
    <row r="52" spans="1:14" s="29" customFormat="1" ht="105">
      <c r="A52" s="293">
        <v>45</v>
      </c>
      <c r="B52" s="294" t="s">
        <v>624</v>
      </c>
      <c r="C52" s="295" t="s">
        <v>625</v>
      </c>
      <c r="D52" s="295" t="s">
        <v>626</v>
      </c>
      <c r="E52" s="296" t="s">
        <v>496</v>
      </c>
      <c r="F52" s="297">
        <v>63367.237499999996</v>
      </c>
      <c r="G52" s="298">
        <f t="shared" si="0"/>
        <v>63367.237499999996</v>
      </c>
      <c r="H52" s="299">
        <v>43475.5</v>
      </c>
      <c r="I52" s="300">
        <v>1</v>
      </c>
      <c r="J52" s="301">
        <v>0.18</v>
      </c>
      <c r="K52" s="302">
        <v>0</v>
      </c>
      <c r="L52" s="302">
        <v>0</v>
      </c>
      <c r="M52" s="302">
        <f t="shared" si="1"/>
        <v>63367.237499999996</v>
      </c>
      <c r="N52" s="303"/>
    </row>
    <row r="53" spans="1:14" s="29" customFormat="1" ht="120">
      <c r="A53" s="293">
        <v>46</v>
      </c>
      <c r="B53" s="294" t="s">
        <v>627</v>
      </c>
      <c r="C53" s="295" t="s">
        <v>628</v>
      </c>
      <c r="D53" s="295" t="s">
        <v>629</v>
      </c>
      <c r="E53" s="296" t="s">
        <v>496</v>
      </c>
      <c r="F53" s="297">
        <v>97679.52</v>
      </c>
      <c r="G53" s="298">
        <f t="shared" si="0"/>
        <v>97679.52</v>
      </c>
      <c r="H53" s="299">
        <v>43327.708333333299</v>
      </c>
      <c r="I53" s="300">
        <v>1</v>
      </c>
      <c r="J53" s="301">
        <v>0.15</v>
      </c>
      <c r="K53" s="302">
        <v>0</v>
      </c>
      <c r="L53" s="302">
        <v>0</v>
      </c>
      <c r="M53" s="302">
        <f t="shared" si="1"/>
        <v>97679.52</v>
      </c>
      <c r="N53" s="303"/>
    </row>
    <row r="54" spans="1:14" s="29" customFormat="1" ht="120">
      <c r="A54" s="293">
        <v>47</v>
      </c>
      <c r="B54" s="294" t="s">
        <v>630</v>
      </c>
      <c r="C54" s="295" t="s">
        <v>631</v>
      </c>
      <c r="D54" s="295" t="s">
        <v>632</v>
      </c>
      <c r="E54" s="296" t="s">
        <v>496</v>
      </c>
      <c r="F54" s="297">
        <v>125000</v>
      </c>
      <c r="G54" s="298">
        <f t="shared" si="0"/>
        <v>125000</v>
      </c>
      <c r="H54" s="299">
        <v>43116.708333333299</v>
      </c>
      <c r="I54" s="300">
        <v>1</v>
      </c>
      <c r="J54" s="301">
        <v>0.32</v>
      </c>
      <c r="K54" s="302">
        <v>0</v>
      </c>
      <c r="L54" s="302">
        <v>0</v>
      </c>
      <c r="M54" s="302">
        <f t="shared" si="1"/>
        <v>125000</v>
      </c>
      <c r="N54" s="303"/>
    </row>
    <row r="55" spans="1:14" s="29" customFormat="1" ht="135">
      <c r="A55" s="293">
        <v>48</v>
      </c>
      <c r="B55" s="294" t="s">
        <v>633</v>
      </c>
      <c r="C55" s="295" t="s">
        <v>634</v>
      </c>
      <c r="D55" s="295" t="s">
        <v>635</v>
      </c>
      <c r="E55" s="296" t="s">
        <v>496</v>
      </c>
      <c r="F55" s="297">
        <v>317000</v>
      </c>
      <c r="G55" s="298">
        <f t="shared" si="0"/>
        <v>317000</v>
      </c>
      <c r="H55" s="299">
        <v>43398.5</v>
      </c>
      <c r="I55" s="300">
        <v>0.3</v>
      </c>
      <c r="J55" s="301">
        <v>0</v>
      </c>
      <c r="K55" s="302">
        <v>0</v>
      </c>
      <c r="L55" s="302">
        <v>0</v>
      </c>
      <c r="M55" s="302">
        <f t="shared" si="1"/>
        <v>317000</v>
      </c>
      <c r="N55" s="303"/>
    </row>
    <row r="56" spans="1:14" s="29" customFormat="1" ht="105">
      <c r="A56" s="293">
        <v>49</v>
      </c>
      <c r="B56" s="294" t="s">
        <v>636</v>
      </c>
      <c r="C56" s="295" t="s">
        <v>637</v>
      </c>
      <c r="D56" s="304" t="s">
        <v>638</v>
      </c>
      <c r="E56" s="296" t="s">
        <v>496</v>
      </c>
      <c r="F56" s="297">
        <v>68673.955499999996</v>
      </c>
      <c r="G56" s="298">
        <f t="shared" si="0"/>
        <v>68673.955499999996</v>
      </c>
      <c r="H56" s="299">
        <v>44011.5</v>
      </c>
      <c r="I56" s="300">
        <v>0.3</v>
      </c>
      <c r="J56" s="301">
        <v>0</v>
      </c>
      <c r="K56" s="302">
        <v>0</v>
      </c>
      <c r="L56" s="302">
        <v>0</v>
      </c>
      <c r="M56" s="302">
        <f t="shared" si="1"/>
        <v>68673.955499999996</v>
      </c>
      <c r="N56" s="303"/>
    </row>
    <row r="57" spans="1:14" s="29" customFormat="1" ht="150">
      <c r="A57" s="293">
        <v>50</v>
      </c>
      <c r="B57" s="294" t="s">
        <v>639</v>
      </c>
      <c r="C57" s="295" t="s">
        <v>640</v>
      </c>
      <c r="D57" s="295" t="s">
        <v>641</v>
      </c>
      <c r="E57" s="296" t="s">
        <v>496</v>
      </c>
      <c r="F57" s="297">
        <v>250000</v>
      </c>
      <c r="G57" s="298">
        <f t="shared" si="0"/>
        <v>250000</v>
      </c>
      <c r="H57" s="299">
        <v>44567.708333333299</v>
      </c>
      <c r="I57" s="300">
        <v>0.05</v>
      </c>
      <c r="J57" s="301">
        <v>0</v>
      </c>
      <c r="K57" s="302">
        <v>0</v>
      </c>
      <c r="L57" s="302">
        <v>0</v>
      </c>
      <c r="M57" s="302">
        <f t="shared" si="1"/>
        <v>250000</v>
      </c>
      <c r="N57" s="305"/>
    </row>
    <row r="58" spans="1:14" s="29" customFormat="1" ht="150">
      <c r="A58" s="293">
        <v>51</v>
      </c>
      <c r="B58" s="294" t="s">
        <v>642</v>
      </c>
      <c r="C58" s="295" t="s">
        <v>643</v>
      </c>
      <c r="D58" s="295" t="s">
        <v>644</v>
      </c>
      <c r="E58" s="296" t="s">
        <v>496</v>
      </c>
      <c r="F58" s="297">
        <v>10000</v>
      </c>
      <c r="G58" s="298">
        <f t="shared" si="0"/>
        <v>10000</v>
      </c>
      <c r="H58" s="299">
        <v>43091.708333333299</v>
      </c>
      <c r="I58" s="300">
        <v>0.6</v>
      </c>
      <c r="J58" s="301">
        <v>0</v>
      </c>
      <c r="K58" s="302">
        <v>0</v>
      </c>
      <c r="L58" s="302">
        <v>0</v>
      </c>
      <c r="M58" s="302">
        <f t="shared" si="1"/>
        <v>10000</v>
      </c>
      <c r="N58" s="303"/>
    </row>
    <row r="59" spans="1:14" s="29" customFormat="1" ht="135">
      <c r="A59" s="293">
        <v>52</v>
      </c>
      <c r="B59" s="294" t="s">
        <v>645</v>
      </c>
      <c r="C59" s="295" t="s">
        <v>646</v>
      </c>
      <c r="D59" s="295" t="s">
        <v>647</v>
      </c>
      <c r="E59" s="296" t="s">
        <v>496</v>
      </c>
      <c r="F59" s="297">
        <v>15000</v>
      </c>
      <c r="G59" s="298">
        <f t="shared" si="0"/>
        <v>15000</v>
      </c>
      <c r="H59" s="299">
        <v>43009</v>
      </c>
      <c r="I59" s="300">
        <v>1</v>
      </c>
      <c r="J59" s="301">
        <v>0.93</v>
      </c>
      <c r="K59" s="302">
        <v>0</v>
      </c>
      <c r="L59" s="302">
        <v>0</v>
      </c>
      <c r="M59" s="302">
        <f t="shared" si="1"/>
        <v>15000</v>
      </c>
      <c r="N59" s="305"/>
    </row>
    <row r="60" spans="1:14" s="29" customFormat="1" ht="135">
      <c r="A60" s="293">
        <v>53</v>
      </c>
      <c r="B60" s="294" t="s">
        <v>648</v>
      </c>
      <c r="C60" s="295" t="s">
        <v>649</v>
      </c>
      <c r="D60" s="295" t="s">
        <v>514</v>
      </c>
      <c r="E60" s="296" t="s">
        <v>496</v>
      </c>
      <c r="F60" s="297">
        <v>150000</v>
      </c>
      <c r="G60" s="298">
        <f t="shared" si="0"/>
        <v>150000</v>
      </c>
      <c r="H60" s="299">
        <v>43344</v>
      </c>
      <c r="I60" s="300">
        <v>1</v>
      </c>
      <c r="J60" s="301">
        <v>0</v>
      </c>
      <c r="K60" s="302">
        <v>0</v>
      </c>
      <c r="L60" s="302">
        <v>0</v>
      </c>
      <c r="M60" s="302">
        <f t="shared" si="1"/>
        <v>150000</v>
      </c>
      <c r="N60" s="305"/>
    </row>
    <row r="61" spans="1:14" s="29" customFormat="1" ht="135">
      <c r="A61" s="293">
        <v>54</v>
      </c>
      <c r="B61" s="294" t="s">
        <v>650</v>
      </c>
      <c r="C61" s="295" t="s">
        <v>651</v>
      </c>
      <c r="D61" s="295" t="s">
        <v>652</v>
      </c>
      <c r="E61" s="296" t="s">
        <v>496</v>
      </c>
      <c r="F61" s="297">
        <v>77399</v>
      </c>
      <c r="G61" s="298">
        <f t="shared" si="0"/>
        <v>77399</v>
      </c>
      <c r="H61" s="299">
        <v>43344</v>
      </c>
      <c r="I61" s="300">
        <v>1</v>
      </c>
      <c r="J61" s="301">
        <v>0.21</v>
      </c>
      <c r="K61" s="302">
        <v>0</v>
      </c>
      <c r="L61" s="302">
        <v>0</v>
      </c>
      <c r="M61" s="302">
        <f t="shared" si="1"/>
        <v>77399</v>
      </c>
      <c r="N61" s="305"/>
    </row>
    <row r="62" spans="1:14" s="29" customFormat="1" ht="135">
      <c r="A62" s="293">
        <v>55</v>
      </c>
      <c r="B62" s="294" t="s">
        <v>653</v>
      </c>
      <c r="C62" s="295" t="s">
        <v>654</v>
      </c>
      <c r="D62" s="295" t="s">
        <v>655</v>
      </c>
      <c r="E62" s="296" t="s">
        <v>496</v>
      </c>
      <c r="F62" s="297">
        <v>29507.25</v>
      </c>
      <c r="G62" s="298">
        <f t="shared" si="0"/>
        <v>29507.25</v>
      </c>
      <c r="H62" s="299">
        <v>43344</v>
      </c>
      <c r="I62" s="300">
        <v>0</v>
      </c>
      <c r="J62" s="301">
        <v>0</v>
      </c>
      <c r="K62" s="302">
        <v>0</v>
      </c>
      <c r="L62" s="302">
        <v>0</v>
      </c>
      <c r="M62" s="302">
        <f t="shared" si="1"/>
        <v>29507.25</v>
      </c>
      <c r="N62" s="305"/>
    </row>
    <row r="63" spans="1:14" s="29" customFormat="1" ht="105">
      <c r="A63" s="293">
        <v>56</v>
      </c>
      <c r="B63" s="294" t="s">
        <v>656</v>
      </c>
      <c r="C63" s="295" t="s">
        <v>657</v>
      </c>
      <c r="D63" s="295" t="s">
        <v>658</v>
      </c>
      <c r="E63" s="296" t="s">
        <v>496</v>
      </c>
      <c r="F63" s="297">
        <v>25000</v>
      </c>
      <c r="G63" s="298">
        <f t="shared" si="0"/>
        <v>25000</v>
      </c>
      <c r="H63" s="299">
        <v>43344</v>
      </c>
      <c r="I63" s="300">
        <v>0</v>
      </c>
      <c r="J63" s="301">
        <v>0</v>
      </c>
      <c r="K63" s="302">
        <v>0</v>
      </c>
      <c r="L63" s="302">
        <v>0</v>
      </c>
      <c r="M63" s="302">
        <f t="shared" si="1"/>
        <v>25000</v>
      </c>
      <c r="N63" s="305"/>
    </row>
    <row r="64" spans="1:14" s="29" customFormat="1" ht="120">
      <c r="A64" s="293">
        <v>57</v>
      </c>
      <c r="B64" s="294" t="s">
        <v>659</v>
      </c>
      <c r="C64" s="295" t="s">
        <v>660</v>
      </c>
      <c r="D64" s="295" t="s">
        <v>661</v>
      </c>
      <c r="E64" s="296" t="s">
        <v>496</v>
      </c>
      <c r="F64" s="297">
        <v>11625</v>
      </c>
      <c r="G64" s="298">
        <f t="shared" si="0"/>
        <v>11625</v>
      </c>
      <c r="H64" s="299">
        <v>43070</v>
      </c>
      <c r="I64" s="300">
        <v>1</v>
      </c>
      <c r="J64" s="301">
        <v>0.37</v>
      </c>
      <c r="K64" s="302">
        <v>0</v>
      </c>
      <c r="L64" s="302">
        <v>0</v>
      </c>
      <c r="M64" s="302">
        <f t="shared" si="1"/>
        <v>11625</v>
      </c>
      <c r="N64" s="305"/>
    </row>
    <row r="65" spans="1:14" s="29" customFormat="1" ht="120">
      <c r="A65" s="293">
        <v>58</v>
      </c>
      <c r="B65" s="294" t="s">
        <v>662</v>
      </c>
      <c r="C65" s="295" t="s">
        <v>663</v>
      </c>
      <c r="D65" s="295" t="s">
        <v>664</v>
      </c>
      <c r="E65" s="296" t="s">
        <v>496</v>
      </c>
      <c r="F65" s="297">
        <v>30000</v>
      </c>
      <c r="G65" s="298">
        <f t="shared" si="0"/>
        <v>30000</v>
      </c>
      <c r="H65" s="299">
        <v>43475.5</v>
      </c>
      <c r="I65" s="300">
        <v>1</v>
      </c>
      <c r="J65" s="301">
        <v>0.12</v>
      </c>
      <c r="K65" s="302">
        <v>0</v>
      </c>
      <c r="L65" s="302">
        <v>0</v>
      </c>
      <c r="M65" s="302">
        <f t="shared" si="1"/>
        <v>30000</v>
      </c>
      <c r="N65" s="305"/>
    </row>
    <row r="66" spans="1:14" s="29" customFormat="1" ht="105">
      <c r="A66" s="293">
        <v>59</v>
      </c>
      <c r="B66" s="294" t="s">
        <v>665</v>
      </c>
      <c r="C66" s="295" t="s">
        <v>666</v>
      </c>
      <c r="D66" s="295" t="s">
        <v>667</v>
      </c>
      <c r="E66" s="296" t="s">
        <v>496</v>
      </c>
      <c r="F66" s="297">
        <v>25000</v>
      </c>
      <c r="G66" s="298">
        <f t="shared" si="0"/>
        <v>25000</v>
      </c>
      <c r="H66" s="299">
        <v>43070</v>
      </c>
      <c r="I66" s="300">
        <v>1</v>
      </c>
      <c r="J66" s="301">
        <v>1</v>
      </c>
      <c r="K66" s="302">
        <v>0</v>
      </c>
      <c r="L66" s="302">
        <v>0</v>
      </c>
      <c r="M66" s="302">
        <f t="shared" si="1"/>
        <v>25000</v>
      </c>
      <c r="N66" s="305"/>
    </row>
    <row r="67" spans="1:14" s="29" customFormat="1" ht="105.75" thickBot="1">
      <c r="A67" s="308">
        <v>60</v>
      </c>
      <c r="B67" s="309" t="s">
        <v>668</v>
      </c>
      <c r="C67" s="310" t="s">
        <v>669</v>
      </c>
      <c r="D67" s="310" t="s">
        <v>670</v>
      </c>
      <c r="E67" s="311" t="s">
        <v>496</v>
      </c>
      <c r="F67" s="312">
        <v>250000</v>
      </c>
      <c r="G67" s="313">
        <f t="shared" si="0"/>
        <v>250000</v>
      </c>
      <c r="H67" s="314">
        <v>43621.708333333299</v>
      </c>
      <c r="I67" s="315">
        <v>1</v>
      </c>
      <c r="J67" s="316">
        <v>0</v>
      </c>
      <c r="K67" s="317">
        <v>0</v>
      </c>
      <c r="L67" s="317">
        <v>0</v>
      </c>
      <c r="M67" s="317">
        <f t="shared" si="1"/>
        <v>250000</v>
      </c>
      <c r="N67" s="318"/>
    </row>
    <row r="68" spans="1:14" s="29" customFormat="1" ht="150">
      <c r="A68" s="282">
        <v>61</v>
      </c>
      <c r="B68" s="285" t="s">
        <v>671</v>
      </c>
      <c r="C68" s="284" t="s">
        <v>672</v>
      </c>
      <c r="D68" s="284" t="s">
        <v>673</v>
      </c>
      <c r="E68" s="285" t="s">
        <v>674</v>
      </c>
      <c r="F68" s="286">
        <v>300000</v>
      </c>
      <c r="G68" s="287">
        <f t="shared" si="0"/>
        <v>300000</v>
      </c>
      <c r="H68" s="288">
        <v>44196</v>
      </c>
      <c r="I68" s="289">
        <v>0</v>
      </c>
      <c r="J68" s="290">
        <v>0</v>
      </c>
      <c r="K68" s="291">
        <v>0</v>
      </c>
      <c r="L68" s="291">
        <v>0</v>
      </c>
      <c r="M68" s="291">
        <f t="shared" si="1"/>
        <v>300000</v>
      </c>
      <c r="N68" s="328"/>
    </row>
    <row r="69" spans="1:14" s="29" customFormat="1" ht="120">
      <c r="A69" s="293">
        <v>62</v>
      </c>
      <c r="B69" s="294" t="s">
        <v>675</v>
      </c>
      <c r="C69" s="295" t="s">
        <v>676</v>
      </c>
      <c r="D69" s="295" t="s">
        <v>677</v>
      </c>
      <c r="E69" s="296" t="s">
        <v>678</v>
      </c>
      <c r="F69" s="297">
        <v>150000</v>
      </c>
      <c r="G69" s="298">
        <f t="shared" si="0"/>
        <v>150000</v>
      </c>
      <c r="H69" s="299">
        <v>43344</v>
      </c>
      <c r="I69" s="300">
        <v>1</v>
      </c>
      <c r="J69" s="301">
        <v>0</v>
      </c>
      <c r="K69" s="302">
        <v>0</v>
      </c>
      <c r="L69" s="302">
        <v>0</v>
      </c>
      <c r="M69" s="302">
        <f t="shared" si="1"/>
        <v>150000</v>
      </c>
      <c r="N69" s="305"/>
    </row>
    <row r="70" spans="1:14" s="29" customFormat="1" ht="210">
      <c r="A70" s="293">
        <v>63</v>
      </c>
      <c r="B70" s="294" t="s">
        <v>679</v>
      </c>
      <c r="C70" s="295" t="s">
        <v>680</v>
      </c>
      <c r="D70" s="295" t="s">
        <v>681</v>
      </c>
      <c r="E70" s="296" t="s">
        <v>674</v>
      </c>
      <c r="F70" s="297">
        <v>395000</v>
      </c>
      <c r="G70" s="298">
        <f t="shared" si="0"/>
        <v>395000</v>
      </c>
      <c r="H70" s="299">
        <v>43724.708333333299</v>
      </c>
      <c r="I70" s="300">
        <v>1</v>
      </c>
      <c r="J70" s="301">
        <v>0</v>
      </c>
      <c r="K70" s="302">
        <v>0</v>
      </c>
      <c r="L70" s="302">
        <v>0</v>
      </c>
      <c r="M70" s="302">
        <f t="shared" si="1"/>
        <v>395000</v>
      </c>
      <c r="N70" s="303"/>
    </row>
    <row r="71" spans="1:14" s="29" customFormat="1" ht="135">
      <c r="A71" s="293">
        <v>64</v>
      </c>
      <c r="B71" s="294" t="s">
        <v>682</v>
      </c>
      <c r="C71" s="295" t="s">
        <v>683</v>
      </c>
      <c r="D71" s="295" t="s">
        <v>684</v>
      </c>
      <c r="E71" s="296" t="s">
        <v>678</v>
      </c>
      <c r="F71" s="297">
        <v>20000</v>
      </c>
      <c r="G71" s="298">
        <f t="shared" si="0"/>
        <v>20000</v>
      </c>
      <c r="H71" s="299">
        <v>43147.708333333299</v>
      </c>
      <c r="I71" s="300">
        <v>1</v>
      </c>
      <c r="J71" s="301">
        <v>0</v>
      </c>
      <c r="K71" s="302">
        <v>0</v>
      </c>
      <c r="L71" s="302">
        <v>0</v>
      </c>
      <c r="M71" s="302">
        <f t="shared" si="1"/>
        <v>20000</v>
      </c>
      <c r="N71" s="303"/>
    </row>
    <row r="72" spans="1:14" s="29" customFormat="1" ht="105">
      <c r="A72" s="293">
        <v>65</v>
      </c>
      <c r="B72" s="294" t="s">
        <v>685</v>
      </c>
      <c r="C72" s="295" t="s">
        <v>686</v>
      </c>
      <c r="D72" s="295" t="s">
        <v>687</v>
      </c>
      <c r="E72" s="296" t="s">
        <v>674</v>
      </c>
      <c r="F72" s="297">
        <v>72000</v>
      </c>
      <c r="G72" s="298">
        <f t="shared" ref="G72:G102" si="2">F72</f>
        <v>72000</v>
      </c>
      <c r="H72" s="299">
        <v>43445.708333333299</v>
      </c>
      <c r="I72" s="300">
        <v>1</v>
      </c>
      <c r="J72" s="301">
        <v>0</v>
      </c>
      <c r="K72" s="302">
        <v>0</v>
      </c>
      <c r="L72" s="302">
        <v>0</v>
      </c>
      <c r="M72" s="302">
        <f t="shared" ref="M72:M102" si="3">F72</f>
        <v>72000</v>
      </c>
      <c r="N72" s="303"/>
    </row>
    <row r="73" spans="1:14" s="29" customFormat="1" ht="105">
      <c r="A73" s="293">
        <v>66</v>
      </c>
      <c r="B73" s="294" t="s">
        <v>688</v>
      </c>
      <c r="C73" s="295" t="s">
        <v>689</v>
      </c>
      <c r="D73" s="295" t="s">
        <v>690</v>
      </c>
      <c r="E73" s="296" t="s">
        <v>674</v>
      </c>
      <c r="F73" s="297">
        <v>61000</v>
      </c>
      <c r="G73" s="298">
        <f t="shared" si="2"/>
        <v>61000</v>
      </c>
      <c r="H73" s="299">
        <v>43360.708333333299</v>
      </c>
      <c r="I73" s="300">
        <v>1</v>
      </c>
      <c r="J73" s="301">
        <v>0</v>
      </c>
      <c r="K73" s="302">
        <v>0</v>
      </c>
      <c r="L73" s="302">
        <v>0</v>
      </c>
      <c r="M73" s="302">
        <f t="shared" si="3"/>
        <v>61000</v>
      </c>
      <c r="N73" s="303"/>
    </row>
    <row r="74" spans="1:14" s="29" customFormat="1" ht="120">
      <c r="A74" s="293">
        <v>67</v>
      </c>
      <c r="B74" s="296" t="s">
        <v>691</v>
      </c>
      <c r="C74" s="295" t="s">
        <v>692</v>
      </c>
      <c r="D74" s="295" t="s">
        <v>693</v>
      </c>
      <c r="E74" s="296" t="s">
        <v>674</v>
      </c>
      <c r="F74" s="297">
        <v>55000</v>
      </c>
      <c r="G74" s="298">
        <f t="shared" si="2"/>
        <v>55000</v>
      </c>
      <c r="H74" s="299">
        <v>44196</v>
      </c>
      <c r="I74" s="300">
        <v>0</v>
      </c>
      <c r="J74" s="301">
        <v>0</v>
      </c>
      <c r="K74" s="302">
        <v>0</v>
      </c>
      <c r="L74" s="302">
        <v>0</v>
      </c>
      <c r="M74" s="302">
        <f t="shared" si="3"/>
        <v>55000</v>
      </c>
      <c r="N74" s="329"/>
    </row>
    <row r="75" spans="1:14" s="29" customFormat="1" ht="120">
      <c r="A75" s="293">
        <v>68</v>
      </c>
      <c r="B75" s="294" t="s">
        <v>694</v>
      </c>
      <c r="C75" s="295" t="s">
        <v>695</v>
      </c>
      <c r="D75" s="295" t="s">
        <v>696</v>
      </c>
      <c r="E75" s="296" t="s">
        <v>674</v>
      </c>
      <c r="F75" s="297">
        <v>325000</v>
      </c>
      <c r="G75" s="298">
        <f t="shared" si="2"/>
        <v>325000</v>
      </c>
      <c r="H75" s="299">
        <v>44600.708333333299</v>
      </c>
      <c r="I75" s="300">
        <v>0.05</v>
      </c>
      <c r="J75" s="301">
        <v>0</v>
      </c>
      <c r="K75" s="302">
        <v>0</v>
      </c>
      <c r="L75" s="302">
        <v>0</v>
      </c>
      <c r="M75" s="302">
        <f t="shared" si="3"/>
        <v>325000</v>
      </c>
      <c r="N75" s="303"/>
    </row>
    <row r="76" spans="1:14" s="29" customFormat="1" ht="105">
      <c r="A76" s="293">
        <v>69</v>
      </c>
      <c r="B76" s="296" t="s">
        <v>697</v>
      </c>
      <c r="C76" s="295" t="s">
        <v>698</v>
      </c>
      <c r="D76" s="295" t="s">
        <v>699</v>
      </c>
      <c r="E76" s="296" t="s">
        <v>678</v>
      </c>
      <c r="F76" s="297">
        <v>30000</v>
      </c>
      <c r="G76" s="298">
        <f t="shared" si="2"/>
        <v>30000</v>
      </c>
      <c r="H76" s="299">
        <v>44196</v>
      </c>
      <c r="I76" s="319"/>
      <c r="J76" s="320"/>
      <c r="K76" s="302">
        <v>0</v>
      </c>
      <c r="L76" s="302">
        <v>0</v>
      </c>
      <c r="M76" s="302">
        <f t="shared" si="3"/>
        <v>30000</v>
      </c>
      <c r="N76" s="329"/>
    </row>
    <row r="77" spans="1:14" s="29" customFormat="1" ht="105">
      <c r="A77" s="293">
        <v>70</v>
      </c>
      <c r="B77" s="294" t="s">
        <v>700</v>
      </c>
      <c r="C77" s="295" t="s">
        <v>701</v>
      </c>
      <c r="D77" s="295" t="s">
        <v>702</v>
      </c>
      <c r="E77" s="296" t="s">
        <v>674</v>
      </c>
      <c r="F77" s="297">
        <v>75000</v>
      </c>
      <c r="G77" s="298">
        <f t="shared" si="2"/>
        <v>75000</v>
      </c>
      <c r="H77" s="299">
        <v>43378.5</v>
      </c>
      <c r="I77" s="300">
        <v>1</v>
      </c>
      <c r="J77" s="301">
        <v>0</v>
      </c>
      <c r="K77" s="302">
        <v>0</v>
      </c>
      <c r="L77" s="302">
        <v>0</v>
      </c>
      <c r="M77" s="302">
        <f t="shared" si="3"/>
        <v>75000</v>
      </c>
      <c r="N77" s="303"/>
    </row>
    <row r="78" spans="1:14" s="29" customFormat="1" ht="105">
      <c r="A78" s="293">
        <v>71</v>
      </c>
      <c r="B78" s="294" t="s">
        <v>703</v>
      </c>
      <c r="C78" s="295" t="s">
        <v>704</v>
      </c>
      <c r="D78" s="295" t="s">
        <v>705</v>
      </c>
      <c r="E78" s="296" t="s">
        <v>674</v>
      </c>
      <c r="F78" s="297">
        <v>150000</v>
      </c>
      <c r="G78" s="298">
        <f t="shared" si="2"/>
        <v>150000</v>
      </c>
      <c r="H78" s="299">
        <v>43453.708333333299</v>
      </c>
      <c r="I78" s="300">
        <v>1</v>
      </c>
      <c r="J78" s="301">
        <v>0.06</v>
      </c>
      <c r="K78" s="302">
        <v>0</v>
      </c>
      <c r="L78" s="302">
        <v>0</v>
      </c>
      <c r="M78" s="302">
        <f t="shared" si="3"/>
        <v>150000</v>
      </c>
      <c r="N78" s="303"/>
    </row>
    <row r="79" spans="1:14" s="29" customFormat="1" ht="120">
      <c r="A79" s="293">
        <v>72</v>
      </c>
      <c r="B79" s="294" t="s">
        <v>706</v>
      </c>
      <c r="C79" s="295" t="s">
        <v>707</v>
      </c>
      <c r="D79" s="295" t="s">
        <v>708</v>
      </c>
      <c r="E79" s="296" t="s">
        <v>674</v>
      </c>
      <c r="F79" s="297">
        <v>28000</v>
      </c>
      <c r="G79" s="298">
        <f t="shared" si="2"/>
        <v>28000</v>
      </c>
      <c r="H79" s="299">
        <v>43444.5</v>
      </c>
      <c r="I79" s="300">
        <v>1</v>
      </c>
      <c r="J79" s="301">
        <v>0.57999999999999996</v>
      </c>
      <c r="K79" s="302">
        <v>0</v>
      </c>
      <c r="L79" s="302">
        <v>0</v>
      </c>
      <c r="M79" s="302">
        <f t="shared" si="3"/>
        <v>28000</v>
      </c>
      <c r="N79" s="303"/>
    </row>
    <row r="80" spans="1:14" s="29" customFormat="1" ht="135.75" thickBot="1">
      <c r="A80" s="308">
        <v>73</v>
      </c>
      <c r="B80" s="311">
        <v>8425</v>
      </c>
      <c r="C80" s="310" t="s">
        <v>709</v>
      </c>
      <c r="D80" s="310" t="s">
        <v>710</v>
      </c>
      <c r="E80" s="311" t="s">
        <v>674</v>
      </c>
      <c r="F80" s="312">
        <v>1539000</v>
      </c>
      <c r="G80" s="313">
        <f t="shared" si="2"/>
        <v>1539000</v>
      </c>
      <c r="H80" s="314">
        <v>44196</v>
      </c>
      <c r="I80" s="315">
        <v>0</v>
      </c>
      <c r="J80" s="316">
        <v>0</v>
      </c>
      <c r="K80" s="317">
        <v>0</v>
      </c>
      <c r="L80" s="317">
        <v>0</v>
      </c>
      <c r="M80" s="317">
        <f t="shared" si="3"/>
        <v>1539000</v>
      </c>
      <c r="N80" s="330"/>
    </row>
    <row r="81" spans="1:14" s="29" customFormat="1" ht="120">
      <c r="A81" s="282">
        <v>74</v>
      </c>
      <c r="B81" s="285" t="s">
        <v>711</v>
      </c>
      <c r="C81" s="284" t="s">
        <v>712</v>
      </c>
      <c r="D81" s="284" t="s">
        <v>713</v>
      </c>
      <c r="E81" s="285" t="s">
        <v>714</v>
      </c>
      <c r="F81" s="286">
        <v>125000</v>
      </c>
      <c r="G81" s="287">
        <f t="shared" si="2"/>
        <v>125000</v>
      </c>
      <c r="H81" s="288">
        <v>44196</v>
      </c>
      <c r="I81" s="289">
        <v>1</v>
      </c>
      <c r="J81" s="289">
        <v>0.1</v>
      </c>
      <c r="K81" s="291">
        <v>0</v>
      </c>
      <c r="L81" s="291">
        <v>0</v>
      </c>
      <c r="M81" s="291">
        <f t="shared" si="3"/>
        <v>125000</v>
      </c>
      <c r="N81" s="331"/>
    </row>
    <row r="82" spans="1:14" s="29" customFormat="1" ht="105">
      <c r="A82" s="293">
        <v>75</v>
      </c>
      <c r="B82" s="296">
        <v>128562</v>
      </c>
      <c r="C82" s="295" t="s">
        <v>715</v>
      </c>
      <c r="D82" s="295" t="s">
        <v>716</v>
      </c>
      <c r="E82" s="296" t="s">
        <v>714</v>
      </c>
      <c r="F82" s="297">
        <v>75000</v>
      </c>
      <c r="G82" s="298">
        <f t="shared" si="2"/>
        <v>75000</v>
      </c>
      <c r="H82" s="299">
        <v>44196</v>
      </c>
      <c r="I82" s="300">
        <v>0</v>
      </c>
      <c r="J82" s="300">
        <v>0</v>
      </c>
      <c r="K82" s="302">
        <v>0</v>
      </c>
      <c r="L82" s="302">
        <v>0</v>
      </c>
      <c r="M82" s="302">
        <f t="shared" si="3"/>
        <v>75000</v>
      </c>
      <c r="N82" s="332"/>
    </row>
    <row r="83" spans="1:14" s="29" customFormat="1" ht="180">
      <c r="A83" s="293">
        <v>76</v>
      </c>
      <c r="B83" s="296">
        <v>128632</v>
      </c>
      <c r="C83" s="295" t="s">
        <v>717</v>
      </c>
      <c r="D83" s="295" t="s">
        <v>718</v>
      </c>
      <c r="E83" s="296" t="s">
        <v>714</v>
      </c>
      <c r="F83" s="297">
        <v>4180000</v>
      </c>
      <c r="G83" s="298">
        <f t="shared" si="2"/>
        <v>4180000</v>
      </c>
      <c r="H83" s="299">
        <v>44196</v>
      </c>
      <c r="I83" s="300">
        <v>0.5</v>
      </c>
      <c r="J83" s="301">
        <v>0</v>
      </c>
      <c r="K83" s="302">
        <v>0</v>
      </c>
      <c r="L83" s="302">
        <v>0</v>
      </c>
      <c r="M83" s="302">
        <f t="shared" si="3"/>
        <v>4180000</v>
      </c>
      <c r="N83" s="329"/>
    </row>
    <row r="84" spans="1:14" s="29" customFormat="1" ht="120">
      <c r="A84" s="293">
        <v>77</v>
      </c>
      <c r="B84" s="296">
        <v>128314</v>
      </c>
      <c r="C84" s="295" t="s">
        <v>719</v>
      </c>
      <c r="D84" s="295" t="s">
        <v>720</v>
      </c>
      <c r="E84" s="296" t="s">
        <v>714</v>
      </c>
      <c r="F84" s="297">
        <v>25000</v>
      </c>
      <c r="G84" s="298">
        <f t="shared" si="2"/>
        <v>25000</v>
      </c>
      <c r="H84" s="299">
        <v>44196</v>
      </c>
      <c r="I84" s="300">
        <v>1</v>
      </c>
      <c r="J84" s="300">
        <v>0.1</v>
      </c>
      <c r="K84" s="302">
        <v>0</v>
      </c>
      <c r="L84" s="302">
        <v>0</v>
      </c>
      <c r="M84" s="302">
        <f t="shared" si="3"/>
        <v>25000</v>
      </c>
      <c r="N84" s="329"/>
    </row>
    <row r="85" spans="1:14" s="29" customFormat="1" ht="135">
      <c r="A85" s="293">
        <v>78</v>
      </c>
      <c r="B85" s="296">
        <v>127550</v>
      </c>
      <c r="C85" s="295" t="s">
        <v>721</v>
      </c>
      <c r="D85" s="295" t="s">
        <v>722</v>
      </c>
      <c r="E85" s="296" t="s">
        <v>714</v>
      </c>
      <c r="F85" s="297">
        <v>500000</v>
      </c>
      <c r="G85" s="298">
        <f t="shared" si="2"/>
        <v>500000</v>
      </c>
      <c r="H85" s="299">
        <v>44196</v>
      </c>
      <c r="I85" s="300">
        <v>1</v>
      </c>
      <c r="J85" s="300">
        <v>0</v>
      </c>
      <c r="K85" s="302">
        <v>0</v>
      </c>
      <c r="L85" s="302">
        <v>0</v>
      </c>
      <c r="M85" s="302">
        <f t="shared" si="3"/>
        <v>500000</v>
      </c>
      <c r="N85" s="329"/>
    </row>
    <row r="86" spans="1:14" s="29" customFormat="1" ht="120">
      <c r="A86" s="293">
        <v>79</v>
      </c>
      <c r="B86" s="296">
        <v>118667</v>
      </c>
      <c r="C86" s="295" t="s">
        <v>723</v>
      </c>
      <c r="D86" s="295" t="s">
        <v>724</v>
      </c>
      <c r="E86" s="296" t="s">
        <v>714</v>
      </c>
      <c r="F86" s="297">
        <v>10000</v>
      </c>
      <c r="G86" s="298">
        <f t="shared" si="2"/>
        <v>10000</v>
      </c>
      <c r="H86" s="299">
        <v>44196</v>
      </c>
      <c r="I86" s="300">
        <v>1</v>
      </c>
      <c r="J86" s="300">
        <v>0.1</v>
      </c>
      <c r="K86" s="302">
        <v>0</v>
      </c>
      <c r="L86" s="302">
        <v>0</v>
      </c>
      <c r="M86" s="302">
        <f t="shared" si="3"/>
        <v>10000</v>
      </c>
      <c r="N86" s="329"/>
    </row>
    <row r="87" spans="1:14" s="29" customFormat="1" ht="90">
      <c r="A87" s="293">
        <v>80</v>
      </c>
      <c r="B87" s="296" t="s">
        <v>725</v>
      </c>
      <c r="C87" s="295" t="s">
        <v>726</v>
      </c>
      <c r="D87" s="295" t="s">
        <v>727</v>
      </c>
      <c r="E87" s="296" t="s">
        <v>714</v>
      </c>
      <c r="F87" s="297">
        <v>30000</v>
      </c>
      <c r="G87" s="298">
        <f t="shared" si="2"/>
        <v>30000</v>
      </c>
      <c r="H87" s="299">
        <v>44196</v>
      </c>
      <c r="I87" s="300">
        <v>1</v>
      </c>
      <c r="J87" s="300">
        <v>0.2</v>
      </c>
      <c r="K87" s="302">
        <v>0</v>
      </c>
      <c r="L87" s="302">
        <v>0</v>
      </c>
      <c r="M87" s="302">
        <f t="shared" si="3"/>
        <v>30000</v>
      </c>
      <c r="N87" s="329"/>
    </row>
    <row r="88" spans="1:14" s="29" customFormat="1" ht="120">
      <c r="A88" s="293">
        <v>81</v>
      </c>
      <c r="B88" s="296" t="s">
        <v>728</v>
      </c>
      <c r="C88" s="295" t="s">
        <v>729</v>
      </c>
      <c r="D88" s="295" t="s">
        <v>730</v>
      </c>
      <c r="E88" s="296" t="s">
        <v>714</v>
      </c>
      <c r="F88" s="297">
        <v>25000</v>
      </c>
      <c r="G88" s="298">
        <f t="shared" si="2"/>
        <v>25000</v>
      </c>
      <c r="H88" s="299">
        <v>44196</v>
      </c>
      <c r="I88" s="300">
        <v>1</v>
      </c>
      <c r="J88" s="300">
        <v>0.9</v>
      </c>
      <c r="K88" s="302">
        <v>0</v>
      </c>
      <c r="L88" s="302">
        <v>0</v>
      </c>
      <c r="M88" s="302">
        <f t="shared" si="3"/>
        <v>25000</v>
      </c>
      <c r="N88" s="329"/>
    </row>
    <row r="89" spans="1:14" s="29" customFormat="1" ht="120.75" thickBot="1">
      <c r="A89" s="308">
        <v>82</v>
      </c>
      <c r="B89" s="311" t="s">
        <v>731</v>
      </c>
      <c r="C89" s="310" t="s">
        <v>732</v>
      </c>
      <c r="D89" s="310" t="s">
        <v>733</v>
      </c>
      <c r="E89" s="311" t="s">
        <v>714</v>
      </c>
      <c r="F89" s="312">
        <v>30000</v>
      </c>
      <c r="G89" s="313">
        <f t="shared" si="2"/>
        <v>30000</v>
      </c>
      <c r="H89" s="314">
        <v>44196</v>
      </c>
      <c r="I89" s="315">
        <v>1</v>
      </c>
      <c r="J89" s="315">
        <v>0.1</v>
      </c>
      <c r="K89" s="317">
        <v>0</v>
      </c>
      <c r="L89" s="317">
        <v>0</v>
      </c>
      <c r="M89" s="317">
        <f t="shared" si="3"/>
        <v>30000</v>
      </c>
      <c r="N89" s="330"/>
    </row>
    <row r="90" spans="1:14" s="29" customFormat="1" ht="90">
      <c r="A90" s="282">
        <v>83</v>
      </c>
      <c r="B90" s="283" t="s">
        <v>734</v>
      </c>
      <c r="C90" s="284" t="s">
        <v>735</v>
      </c>
      <c r="D90" s="284" t="s">
        <v>736</v>
      </c>
      <c r="E90" s="285" t="s">
        <v>737</v>
      </c>
      <c r="F90" s="286">
        <v>6274215</v>
      </c>
      <c r="G90" s="287">
        <f t="shared" si="2"/>
        <v>6274215</v>
      </c>
      <c r="H90" s="288">
        <v>43845.708333333299</v>
      </c>
      <c r="I90" s="289">
        <v>0.6</v>
      </c>
      <c r="J90" s="290">
        <v>0</v>
      </c>
      <c r="K90" s="291">
        <v>0</v>
      </c>
      <c r="L90" s="291">
        <v>0</v>
      </c>
      <c r="M90" s="291">
        <f t="shared" si="3"/>
        <v>6274215</v>
      </c>
      <c r="N90" s="292"/>
    </row>
    <row r="91" spans="1:14" s="29" customFormat="1" ht="105">
      <c r="A91" s="293">
        <v>84</v>
      </c>
      <c r="B91" s="294" t="s">
        <v>738</v>
      </c>
      <c r="C91" s="295" t="s">
        <v>739</v>
      </c>
      <c r="D91" s="295" t="s">
        <v>740</v>
      </c>
      <c r="E91" s="296" t="s">
        <v>737</v>
      </c>
      <c r="F91" s="297">
        <v>17031700</v>
      </c>
      <c r="G91" s="298">
        <f t="shared" si="2"/>
        <v>17031700</v>
      </c>
      <c r="H91" s="299">
        <v>43859.708333333299</v>
      </c>
      <c r="I91" s="300">
        <v>0.6</v>
      </c>
      <c r="J91" s="301">
        <v>0</v>
      </c>
      <c r="K91" s="302">
        <v>0</v>
      </c>
      <c r="L91" s="302">
        <v>0</v>
      </c>
      <c r="M91" s="302">
        <f t="shared" si="3"/>
        <v>17031700</v>
      </c>
      <c r="N91" s="303"/>
    </row>
    <row r="92" spans="1:14" s="29" customFormat="1" ht="135">
      <c r="A92" s="293">
        <v>85</v>
      </c>
      <c r="B92" s="294" t="s">
        <v>741</v>
      </c>
      <c r="C92" s="295" t="s">
        <v>742</v>
      </c>
      <c r="D92" s="295" t="s">
        <v>743</v>
      </c>
      <c r="E92" s="296" t="s">
        <v>737</v>
      </c>
      <c r="F92" s="297">
        <v>2481400</v>
      </c>
      <c r="G92" s="298">
        <f t="shared" si="2"/>
        <v>2481400</v>
      </c>
      <c r="H92" s="299">
        <v>43935.708333333299</v>
      </c>
      <c r="I92" s="300">
        <v>0.3</v>
      </c>
      <c r="J92" s="301">
        <v>0</v>
      </c>
      <c r="K92" s="302">
        <v>0</v>
      </c>
      <c r="L92" s="302">
        <v>0</v>
      </c>
      <c r="M92" s="302">
        <f t="shared" si="3"/>
        <v>2481400</v>
      </c>
      <c r="N92" s="303"/>
    </row>
    <row r="93" spans="1:14" s="29" customFormat="1" ht="135">
      <c r="A93" s="293">
        <v>86</v>
      </c>
      <c r="B93" s="294" t="s">
        <v>744</v>
      </c>
      <c r="C93" s="295" t="s">
        <v>745</v>
      </c>
      <c r="D93" s="295" t="s">
        <v>746</v>
      </c>
      <c r="E93" s="296" t="s">
        <v>737</v>
      </c>
      <c r="F93" s="297">
        <v>1632000</v>
      </c>
      <c r="G93" s="298">
        <f t="shared" si="2"/>
        <v>1632000</v>
      </c>
      <c r="H93" s="299">
        <v>43927.708333333299</v>
      </c>
      <c r="I93" s="300">
        <v>0.3</v>
      </c>
      <c r="J93" s="301">
        <v>0</v>
      </c>
      <c r="K93" s="302">
        <v>0</v>
      </c>
      <c r="L93" s="302">
        <v>0</v>
      </c>
      <c r="M93" s="302">
        <f t="shared" si="3"/>
        <v>1632000</v>
      </c>
      <c r="N93" s="303"/>
    </row>
    <row r="94" spans="1:14" s="29" customFormat="1" ht="120">
      <c r="A94" s="293">
        <v>87</v>
      </c>
      <c r="B94" s="294" t="s">
        <v>747</v>
      </c>
      <c r="C94" s="295" t="s">
        <v>748</v>
      </c>
      <c r="D94" s="295" t="s">
        <v>749</v>
      </c>
      <c r="E94" s="296" t="s">
        <v>737</v>
      </c>
      <c r="F94" s="297">
        <v>157950</v>
      </c>
      <c r="G94" s="298">
        <f t="shared" si="2"/>
        <v>157950</v>
      </c>
      <c r="H94" s="299">
        <v>43483.708333333299</v>
      </c>
      <c r="I94" s="300">
        <v>0.6</v>
      </c>
      <c r="J94" s="301">
        <v>0</v>
      </c>
      <c r="K94" s="302">
        <v>0</v>
      </c>
      <c r="L94" s="302">
        <v>0</v>
      </c>
      <c r="M94" s="302">
        <f t="shared" si="3"/>
        <v>157950</v>
      </c>
      <c r="N94" s="303"/>
    </row>
    <row r="95" spans="1:14" s="29" customFormat="1" ht="90">
      <c r="A95" s="293">
        <v>88</v>
      </c>
      <c r="B95" s="294" t="s">
        <v>750</v>
      </c>
      <c r="C95" s="295" t="s">
        <v>751</v>
      </c>
      <c r="D95" s="295" t="s">
        <v>752</v>
      </c>
      <c r="E95" s="296" t="s">
        <v>737</v>
      </c>
      <c r="F95" s="297">
        <v>1660500</v>
      </c>
      <c r="G95" s="298">
        <f t="shared" si="2"/>
        <v>1660500</v>
      </c>
      <c r="H95" s="299">
        <v>43986.708333333299</v>
      </c>
      <c r="I95" s="300">
        <v>0.3</v>
      </c>
      <c r="J95" s="301">
        <v>0</v>
      </c>
      <c r="K95" s="302">
        <v>0</v>
      </c>
      <c r="L95" s="302">
        <v>0</v>
      </c>
      <c r="M95" s="302">
        <f t="shared" si="3"/>
        <v>1660500</v>
      </c>
      <c r="N95" s="303"/>
    </row>
    <row r="96" spans="1:14" s="29" customFormat="1" ht="105">
      <c r="A96" s="293">
        <v>89</v>
      </c>
      <c r="B96" s="294" t="s">
        <v>753</v>
      </c>
      <c r="C96" s="295" t="s">
        <v>754</v>
      </c>
      <c r="D96" s="295" t="s">
        <v>755</v>
      </c>
      <c r="E96" s="296" t="s">
        <v>737</v>
      </c>
      <c r="F96" s="297">
        <v>4286250</v>
      </c>
      <c r="G96" s="298">
        <f t="shared" si="2"/>
        <v>4286250</v>
      </c>
      <c r="H96" s="299">
        <v>44019.708333333299</v>
      </c>
      <c r="I96" s="300">
        <v>0.3</v>
      </c>
      <c r="J96" s="301">
        <v>0</v>
      </c>
      <c r="K96" s="302">
        <v>0</v>
      </c>
      <c r="L96" s="302">
        <v>0</v>
      </c>
      <c r="M96" s="302">
        <f t="shared" si="3"/>
        <v>4286250</v>
      </c>
      <c r="N96" s="303"/>
    </row>
    <row r="97" spans="1:14" s="29" customFormat="1" ht="120">
      <c r="A97" s="293">
        <v>90</v>
      </c>
      <c r="B97" s="294" t="s">
        <v>101</v>
      </c>
      <c r="C97" s="295" t="s">
        <v>756</v>
      </c>
      <c r="D97" s="304" t="s">
        <v>757</v>
      </c>
      <c r="E97" s="296" t="s">
        <v>737</v>
      </c>
      <c r="F97" s="297">
        <v>977000</v>
      </c>
      <c r="G97" s="298">
        <f t="shared" si="2"/>
        <v>977000</v>
      </c>
      <c r="H97" s="299">
        <v>44196</v>
      </c>
      <c r="I97" s="300">
        <v>1</v>
      </c>
      <c r="J97" s="301">
        <v>0</v>
      </c>
      <c r="K97" s="302">
        <v>0</v>
      </c>
      <c r="L97" s="302">
        <v>0</v>
      </c>
      <c r="M97" s="302">
        <f t="shared" si="3"/>
        <v>977000</v>
      </c>
      <c r="N97" s="303"/>
    </row>
    <row r="98" spans="1:14" s="29" customFormat="1" ht="135">
      <c r="A98" s="293">
        <v>91</v>
      </c>
      <c r="B98" s="294" t="s">
        <v>758</v>
      </c>
      <c r="C98" s="295" t="s">
        <v>759</v>
      </c>
      <c r="D98" s="295" t="s">
        <v>760</v>
      </c>
      <c r="E98" s="296" t="s">
        <v>737</v>
      </c>
      <c r="F98" s="297">
        <v>8729250</v>
      </c>
      <c r="G98" s="298">
        <f t="shared" si="2"/>
        <v>8729250</v>
      </c>
      <c r="H98" s="299">
        <v>43600.641666666699</v>
      </c>
      <c r="I98" s="300">
        <v>0.6</v>
      </c>
      <c r="J98" s="301">
        <v>0</v>
      </c>
      <c r="K98" s="302">
        <v>0</v>
      </c>
      <c r="L98" s="302">
        <v>0</v>
      </c>
      <c r="M98" s="302">
        <f t="shared" si="3"/>
        <v>8729250</v>
      </c>
      <c r="N98" s="303"/>
    </row>
    <row r="99" spans="1:14" s="29" customFormat="1" ht="120">
      <c r="A99" s="293">
        <v>92</v>
      </c>
      <c r="B99" s="296" t="s">
        <v>101</v>
      </c>
      <c r="C99" s="295" t="s">
        <v>761</v>
      </c>
      <c r="D99" s="295" t="s">
        <v>762</v>
      </c>
      <c r="E99" s="296" t="s">
        <v>763</v>
      </c>
      <c r="F99" s="297">
        <v>677100</v>
      </c>
      <c r="G99" s="298">
        <f t="shared" si="2"/>
        <v>677100</v>
      </c>
      <c r="H99" s="299">
        <v>44196</v>
      </c>
      <c r="I99" s="300">
        <v>0</v>
      </c>
      <c r="J99" s="301">
        <v>0</v>
      </c>
      <c r="K99" s="302">
        <v>0</v>
      </c>
      <c r="L99" s="302">
        <v>0</v>
      </c>
      <c r="M99" s="302">
        <f t="shared" si="3"/>
        <v>677100</v>
      </c>
      <c r="N99" s="329"/>
    </row>
    <row r="100" spans="1:14" s="29" customFormat="1" ht="75">
      <c r="A100" s="293">
        <v>93</v>
      </c>
      <c r="B100" s="294" t="s">
        <v>101</v>
      </c>
      <c r="C100" s="295" t="s">
        <v>764</v>
      </c>
      <c r="D100" s="295" t="s">
        <v>765</v>
      </c>
      <c r="E100" s="296" t="s">
        <v>737</v>
      </c>
      <c r="F100" s="297">
        <v>300000</v>
      </c>
      <c r="G100" s="298">
        <f t="shared" si="2"/>
        <v>300000</v>
      </c>
      <c r="H100" s="299">
        <v>44196</v>
      </c>
      <c r="I100" s="300">
        <v>0</v>
      </c>
      <c r="J100" s="301">
        <v>0</v>
      </c>
      <c r="K100" s="302">
        <v>0</v>
      </c>
      <c r="L100" s="302">
        <v>0</v>
      </c>
      <c r="M100" s="302">
        <f t="shared" si="3"/>
        <v>300000</v>
      </c>
      <c r="N100" s="305"/>
    </row>
    <row r="101" spans="1:14" s="29" customFormat="1" ht="105">
      <c r="A101" s="293">
        <v>94</v>
      </c>
      <c r="B101" s="296" t="s">
        <v>101</v>
      </c>
      <c r="C101" s="295" t="s">
        <v>766</v>
      </c>
      <c r="D101" s="295" t="s">
        <v>767</v>
      </c>
      <c r="E101" s="296" t="s">
        <v>737</v>
      </c>
      <c r="F101" s="297">
        <v>813600</v>
      </c>
      <c r="G101" s="298">
        <f t="shared" si="2"/>
        <v>813600</v>
      </c>
      <c r="H101" s="299">
        <v>44196</v>
      </c>
      <c r="I101" s="300">
        <v>1</v>
      </c>
      <c r="J101" s="301">
        <v>0</v>
      </c>
      <c r="K101" s="302">
        <v>0</v>
      </c>
      <c r="L101" s="302">
        <v>0</v>
      </c>
      <c r="M101" s="302">
        <f t="shared" si="3"/>
        <v>813600</v>
      </c>
      <c r="N101" s="329"/>
    </row>
    <row r="102" spans="1:14" s="29" customFormat="1" ht="135.75" thickBot="1">
      <c r="A102" s="308">
        <v>95</v>
      </c>
      <c r="B102" s="309" t="s">
        <v>768</v>
      </c>
      <c r="C102" s="310" t="s">
        <v>769</v>
      </c>
      <c r="D102" s="310" t="s">
        <v>770</v>
      </c>
      <c r="E102" s="311" t="s">
        <v>737</v>
      </c>
      <c r="F102" s="312">
        <v>4164700</v>
      </c>
      <c r="G102" s="313">
        <f t="shared" si="2"/>
        <v>4164700</v>
      </c>
      <c r="H102" s="314">
        <v>43641.708333333299</v>
      </c>
      <c r="I102" s="315">
        <v>0.3</v>
      </c>
      <c r="J102" s="316">
        <v>0</v>
      </c>
      <c r="K102" s="317">
        <v>0</v>
      </c>
      <c r="L102" s="317">
        <v>0</v>
      </c>
      <c r="M102" s="317">
        <f t="shared" si="3"/>
        <v>4164700</v>
      </c>
      <c r="N102" s="321"/>
    </row>
    <row r="103" spans="1:14" ht="16.5" thickBot="1">
      <c r="A103" s="260"/>
      <c r="B103" s="260"/>
      <c r="C103" s="276"/>
      <c r="D103" s="276"/>
      <c r="E103" s="322" t="s">
        <v>54</v>
      </c>
      <c r="F103" s="323">
        <f>SUM(F8:F102)</f>
        <v>66185665.138499998</v>
      </c>
      <c r="G103" s="323">
        <f>SUM(G8:G102)</f>
        <v>66185665.138499998</v>
      </c>
      <c r="H103" s="324"/>
      <c r="I103" s="325"/>
      <c r="J103" s="325"/>
      <c r="K103" s="323">
        <f>SUM(K89:K102)</f>
        <v>0</v>
      </c>
      <c r="L103" s="326">
        <f>SUM(L89:L102)</f>
        <v>0</v>
      </c>
      <c r="M103" s="327">
        <f t="shared" ref="M103" si="4">G103-K103-L103</f>
        <v>66185665.138499998</v>
      </c>
      <c r="N103" s="324"/>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opLeftCell="A40" workbookViewId="0">
      <selection activeCell="E9" sqref="E9"/>
    </sheetView>
  </sheetViews>
  <sheetFormatPr defaultRowHeight="15"/>
  <cols>
    <col min="2" max="2" width="12.85546875" customWidth="1"/>
    <col min="3" max="3" width="12.140625" customWidth="1"/>
    <col min="4" max="4" width="14.5703125" customWidth="1"/>
    <col min="5" max="5" width="13.28515625" customWidth="1"/>
    <col min="6" max="6" width="16.85546875" customWidth="1"/>
    <col min="7" max="7" width="12.85546875" customWidth="1"/>
    <col min="8" max="8" width="14" customWidth="1"/>
    <col min="11" max="11" width="16.28515625" customWidth="1"/>
    <col min="12" max="12" width="12.7109375" customWidth="1"/>
    <col min="13" max="13" width="18" customWidth="1"/>
  </cols>
  <sheetData>
    <row r="1" spans="1:14" ht="15.75">
      <c r="B1" s="181" t="s">
        <v>17</v>
      </c>
      <c r="C1" s="537" t="s">
        <v>345</v>
      </c>
      <c r="D1" s="538"/>
      <c r="E1" s="21"/>
      <c r="F1" s="147"/>
      <c r="H1" s="182"/>
      <c r="I1" s="183"/>
      <c r="J1" s="184"/>
      <c r="K1" s="185"/>
      <c r="L1" s="185"/>
      <c r="N1" s="186"/>
    </row>
    <row r="2" spans="1:14" ht="15.75">
      <c r="B2" s="181" t="s">
        <v>19</v>
      </c>
      <c r="C2" s="539">
        <v>42991</v>
      </c>
      <c r="D2" s="540"/>
      <c r="E2" s="23"/>
      <c r="F2" s="147"/>
      <c r="G2" s="22"/>
      <c r="H2" s="187"/>
      <c r="I2" s="183"/>
      <c r="J2" s="183"/>
      <c r="K2" s="185"/>
      <c r="L2" s="185"/>
      <c r="M2" s="25">
        <f>C2</f>
        <v>42991</v>
      </c>
      <c r="N2" s="186"/>
    </row>
    <row r="3" spans="1:14" ht="31.5">
      <c r="B3" s="181" t="s">
        <v>20</v>
      </c>
      <c r="C3" s="541" t="s">
        <v>346</v>
      </c>
      <c r="D3" s="542"/>
      <c r="E3" s="26"/>
      <c r="F3" s="147"/>
      <c r="H3" s="182"/>
      <c r="I3" s="184"/>
      <c r="J3" s="184"/>
      <c r="K3" s="185"/>
      <c r="L3" s="185"/>
      <c r="N3" s="186"/>
    </row>
    <row r="4" spans="1:14" ht="15.75">
      <c r="B4" s="188"/>
      <c r="C4" s="28"/>
      <c r="D4" s="29"/>
      <c r="E4" s="29"/>
      <c r="F4" s="147"/>
      <c r="H4" s="182"/>
      <c r="I4" s="184"/>
      <c r="J4" s="184"/>
      <c r="K4" s="185"/>
      <c r="L4" s="185"/>
      <c r="N4" s="186"/>
    </row>
    <row r="5" spans="1:14" ht="39" customHeight="1">
      <c r="A5" s="543" t="s">
        <v>57</v>
      </c>
      <c r="B5" s="546" t="s">
        <v>22</v>
      </c>
      <c r="C5" s="547" t="s">
        <v>23</v>
      </c>
      <c r="D5" s="547" t="s">
        <v>24</v>
      </c>
      <c r="E5" s="547" t="s">
        <v>25</v>
      </c>
      <c r="F5" s="551" t="s">
        <v>15</v>
      </c>
      <c r="G5" s="547" t="s">
        <v>58</v>
      </c>
      <c r="H5" s="543" t="s">
        <v>26</v>
      </c>
      <c r="I5" s="552" t="s">
        <v>27</v>
      </c>
      <c r="J5" s="555" t="s">
        <v>28</v>
      </c>
      <c r="K5" s="548" t="s">
        <v>13</v>
      </c>
      <c r="L5" s="548" t="s">
        <v>11</v>
      </c>
      <c r="M5" s="543" t="s">
        <v>9</v>
      </c>
      <c r="N5" s="543" t="s">
        <v>31</v>
      </c>
    </row>
    <row r="6" spans="1:14" ht="39" customHeight="1">
      <c r="A6" s="544"/>
      <c r="B6" s="546"/>
      <c r="C6" s="547"/>
      <c r="D6" s="547"/>
      <c r="E6" s="547"/>
      <c r="F6" s="551"/>
      <c r="G6" s="547"/>
      <c r="H6" s="544"/>
      <c r="I6" s="553"/>
      <c r="J6" s="555"/>
      <c r="K6" s="549"/>
      <c r="L6" s="549"/>
      <c r="M6" s="544"/>
      <c r="N6" s="544"/>
    </row>
    <row r="7" spans="1:14" ht="39" customHeight="1">
      <c r="A7" s="545"/>
      <c r="B7" s="546"/>
      <c r="C7" s="547"/>
      <c r="D7" s="547"/>
      <c r="E7" s="547"/>
      <c r="F7" s="551"/>
      <c r="G7" s="547"/>
      <c r="H7" s="545"/>
      <c r="I7" s="554"/>
      <c r="J7" s="555"/>
      <c r="K7" s="550"/>
      <c r="L7" s="550"/>
      <c r="M7" s="545"/>
      <c r="N7" s="545"/>
    </row>
    <row r="8" spans="1:14" s="29" customFormat="1" ht="60">
      <c r="A8" s="134">
        <v>1</v>
      </c>
      <c r="B8" s="197" t="s">
        <v>347</v>
      </c>
      <c r="C8" s="162" t="s">
        <v>348</v>
      </c>
      <c r="D8" s="45" t="s">
        <v>349</v>
      </c>
      <c r="E8" s="32" t="s">
        <v>350</v>
      </c>
      <c r="F8" s="198">
        <v>437400</v>
      </c>
      <c r="G8" s="45"/>
      <c r="H8" s="199">
        <v>43000</v>
      </c>
      <c r="I8" s="200">
        <v>1</v>
      </c>
      <c r="J8" s="200">
        <v>0</v>
      </c>
      <c r="K8" s="130">
        <v>217358.2</v>
      </c>
      <c r="L8" s="130">
        <v>97884.91</v>
      </c>
      <c r="M8" s="130">
        <f>F8-K8-L8</f>
        <v>122156.88999999998</v>
      </c>
      <c r="N8" s="134"/>
    </row>
    <row r="9" spans="1:14" s="29" customFormat="1" ht="60">
      <c r="A9" s="134">
        <v>2</v>
      </c>
      <c r="B9" s="197" t="s">
        <v>351</v>
      </c>
      <c r="C9" s="162" t="s">
        <v>352</v>
      </c>
      <c r="D9" s="45" t="s">
        <v>349</v>
      </c>
      <c r="E9" s="32" t="s">
        <v>350</v>
      </c>
      <c r="F9" s="198">
        <v>877300</v>
      </c>
      <c r="G9" s="45"/>
      <c r="H9" s="199">
        <v>43000</v>
      </c>
      <c r="I9" s="200">
        <v>1</v>
      </c>
      <c r="J9" s="200">
        <v>0</v>
      </c>
      <c r="K9" s="130">
        <v>358695.57</v>
      </c>
      <c r="L9" s="130">
        <v>184281.79</v>
      </c>
      <c r="M9" s="130">
        <f t="shared" ref="M9:M41" si="0">F9-K9-L9</f>
        <v>334322.64</v>
      </c>
      <c r="N9" s="134"/>
    </row>
    <row r="10" spans="1:14" s="29" customFormat="1" ht="75">
      <c r="A10" s="134">
        <v>3</v>
      </c>
      <c r="B10" s="197" t="s">
        <v>353</v>
      </c>
      <c r="C10" s="162" t="s">
        <v>354</v>
      </c>
      <c r="D10" s="45" t="s">
        <v>355</v>
      </c>
      <c r="E10" s="32" t="s">
        <v>350</v>
      </c>
      <c r="F10" s="198">
        <v>139700</v>
      </c>
      <c r="G10" s="45"/>
      <c r="H10" s="199">
        <v>43000</v>
      </c>
      <c r="I10" s="200">
        <v>1</v>
      </c>
      <c r="J10" s="200">
        <v>0</v>
      </c>
      <c r="K10" s="130">
        <v>33334.199999999997</v>
      </c>
      <c r="L10" s="130">
        <v>18194.5</v>
      </c>
      <c r="M10" s="130">
        <f t="shared" si="0"/>
        <v>88171.3</v>
      </c>
      <c r="N10" s="134"/>
    </row>
    <row r="11" spans="1:14" s="29" customFormat="1" ht="60">
      <c r="A11" s="134">
        <v>4</v>
      </c>
      <c r="B11" s="201">
        <v>10013001</v>
      </c>
      <c r="C11" s="151" t="s">
        <v>356</v>
      </c>
      <c r="D11" s="45" t="s">
        <v>357</v>
      </c>
      <c r="E11" s="32" t="s">
        <v>350</v>
      </c>
      <c r="F11" s="130">
        <v>134000</v>
      </c>
      <c r="G11" s="129"/>
      <c r="H11" s="199">
        <v>43388</v>
      </c>
      <c r="I11" s="200">
        <v>0.86</v>
      </c>
      <c r="J11" s="200">
        <v>0</v>
      </c>
      <c r="K11" s="130"/>
      <c r="L11" s="130"/>
      <c r="M11" s="130">
        <f t="shared" si="0"/>
        <v>134000</v>
      </c>
      <c r="N11" s="134"/>
    </row>
    <row r="12" spans="1:14" s="29" customFormat="1" ht="60">
      <c r="A12" s="134">
        <v>5</v>
      </c>
      <c r="B12" s="201" t="s">
        <v>358</v>
      </c>
      <c r="C12" s="151" t="s">
        <v>359</v>
      </c>
      <c r="D12" s="45" t="s">
        <v>360</v>
      </c>
      <c r="E12" s="32" t="s">
        <v>350</v>
      </c>
      <c r="F12" s="130">
        <v>1000000</v>
      </c>
      <c r="G12" s="129"/>
      <c r="H12" s="199">
        <v>43600</v>
      </c>
      <c r="I12" s="200">
        <v>0.01</v>
      </c>
      <c r="J12" s="200">
        <v>0</v>
      </c>
      <c r="K12" s="130"/>
      <c r="L12" s="130"/>
      <c r="M12" s="130">
        <f t="shared" si="0"/>
        <v>1000000</v>
      </c>
      <c r="N12" s="134"/>
    </row>
    <row r="13" spans="1:14" s="29" customFormat="1" ht="105">
      <c r="A13" s="134">
        <v>6</v>
      </c>
      <c r="B13" s="201" t="s">
        <v>361</v>
      </c>
      <c r="C13" s="151" t="s">
        <v>362</v>
      </c>
      <c r="D13" s="45" t="s">
        <v>363</v>
      </c>
      <c r="E13" s="32" t="s">
        <v>350</v>
      </c>
      <c r="F13" s="130">
        <v>1000000</v>
      </c>
      <c r="G13" s="129"/>
      <c r="H13" s="199">
        <v>43436</v>
      </c>
      <c r="I13" s="200">
        <v>0.45</v>
      </c>
      <c r="J13" s="200">
        <v>0</v>
      </c>
      <c r="K13" s="130"/>
      <c r="L13" s="130"/>
      <c r="M13" s="130">
        <f t="shared" si="0"/>
        <v>1000000</v>
      </c>
      <c r="N13" s="134"/>
    </row>
    <row r="14" spans="1:14" s="29" customFormat="1" ht="75">
      <c r="A14" s="134">
        <v>7</v>
      </c>
      <c r="B14" s="201" t="s">
        <v>364</v>
      </c>
      <c r="C14" s="45" t="s">
        <v>365</v>
      </c>
      <c r="D14" s="45" t="s">
        <v>366</v>
      </c>
      <c r="E14" s="32" t="s">
        <v>350</v>
      </c>
      <c r="F14" s="130">
        <v>98900</v>
      </c>
      <c r="G14" s="129"/>
      <c r="H14" s="199">
        <v>43266</v>
      </c>
      <c r="I14" s="200">
        <v>0.14000000000000001</v>
      </c>
      <c r="J14" s="200">
        <v>0</v>
      </c>
      <c r="K14" s="130"/>
      <c r="L14" s="130"/>
      <c r="M14" s="130">
        <f t="shared" si="0"/>
        <v>98900</v>
      </c>
      <c r="N14" s="134"/>
    </row>
    <row r="15" spans="1:14" s="29" customFormat="1" ht="90">
      <c r="A15" s="134">
        <v>8</v>
      </c>
      <c r="B15" s="201" t="s">
        <v>367</v>
      </c>
      <c r="C15" s="45" t="s">
        <v>368</v>
      </c>
      <c r="D15" s="45" t="s">
        <v>369</v>
      </c>
      <c r="E15" s="32" t="s">
        <v>350</v>
      </c>
      <c r="F15" s="130">
        <v>153600</v>
      </c>
      <c r="G15" s="129"/>
      <c r="H15" s="199">
        <v>43262</v>
      </c>
      <c r="I15" s="200">
        <v>1</v>
      </c>
      <c r="J15" s="200">
        <v>0</v>
      </c>
      <c r="K15" s="130"/>
      <c r="L15" s="130"/>
      <c r="M15" s="130">
        <f t="shared" si="0"/>
        <v>153600</v>
      </c>
      <c r="N15" s="134"/>
    </row>
    <row r="16" spans="1:14" s="29" customFormat="1" ht="75">
      <c r="A16" s="134">
        <v>9</v>
      </c>
      <c r="B16" s="201" t="s">
        <v>370</v>
      </c>
      <c r="C16" s="151" t="s">
        <v>371</v>
      </c>
      <c r="D16" s="45" t="s">
        <v>372</v>
      </c>
      <c r="E16" s="32" t="s">
        <v>350</v>
      </c>
      <c r="F16" s="130">
        <v>52500</v>
      </c>
      <c r="G16" s="129"/>
      <c r="H16" s="199">
        <v>43272</v>
      </c>
      <c r="I16" s="200">
        <v>0</v>
      </c>
      <c r="J16" s="200">
        <v>0</v>
      </c>
      <c r="K16" s="130"/>
      <c r="L16" s="130"/>
      <c r="M16" s="130">
        <f t="shared" si="0"/>
        <v>52500</v>
      </c>
      <c r="N16" s="134"/>
    </row>
    <row r="17" spans="1:14" s="29" customFormat="1" ht="60">
      <c r="A17" s="134">
        <v>10</v>
      </c>
      <c r="B17" s="201" t="s">
        <v>373</v>
      </c>
      <c r="C17" s="151" t="s">
        <v>374</v>
      </c>
      <c r="D17" s="45" t="s">
        <v>375</v>
      </c>
      <c r="E17" s="32" t="s">
        <v>350</v>
      </c>
      <c r="F17" s="130">
        <v>1600280</v>
      </c>
      <c r="G17" s="129"/>
      <c r="H17" s="199">
        <v>43644</v>
      </c>
      <c r="I17" s="200">
        <v>1</v>
      </c>
      <c r="J17" s="200">
        <v>0</v>
      </c>
      <c r="K17" s="130"/>
      <c r="L17" s="130"/>
      <c r="M17" s="130">
        <f t="shared" si="0"/>
        <v>1600280</v>
      </c>
      <c r="N17" s="134"/>
    </row>
    <row r="18" spans="1:14" s="29" customFormat="1" ht="75">
      <c r="A18" s="134">
        <v>11</v>
      </c>
      <c r="B18" s="201" t="s">
        <v>376</v>
      </c>
      <c r="C18" s="151" t="s">
        <v>377</v>
      </c>
      <c r="D18" s="45" t="s">
        <v>378</v>
      </c>
      <c r="E18" s="32" t="s">
        <v>350</v>
      </c>
      <c r="F18" s="130">
        <v>3015000</v>
      </c>
      <c r="G18" s="129"/>
      <c r="H18" s="199">
        <v>43860</v>
      </c>
      <c r="I18" s="200">
        <v>0.45</v>
      </c>
      <c r="J18" s="200">
        <v>0</v>
      </c>
      <c r="K18" s="130"/>
      <c r="L18" s="130"/>
      <c r="M18" s="130">
        <f t="shared" si="0"/>
        <v>3015000</v>
      </c>
      <c r="N18" s="134"/>
    </row>
    <row r="19" spans="1:14" s="29" customFormat="1" ht="90">
      <c r="A19" s="134">
        <v>12</v>
      </c>
      <c r="B19" s="201" t="s">
        <v>379</v>
      </c>
      <c r="C19" s="151" t="s">
        <v>380</v>
      </c>
      <c r="D19" s="45" t="s">
        <v>381</v>
      </c>
      <c r="E19" s="32" t="s">
        <v>350</v>
      </c>
      <c r="F19" s="130">
        <v>2709000</v>
      </c>
      <c r="G19" s="202"/>
      <c r="H19" s="199">
        <v>43464</v>
      </c>
      <c r="I19" s="200">
        <v>1</v>
      </c>
      <c r="J19" s="200">
        <v>0</v>
      </c>
      <c r="K19" s="130"/>
      <c r="L19" s="130"/>
      <c r="M19" s="130">
        <f t="shared" si="0"/>
        <v>2709000</v>
      </c>
      <c r="N19" s="134"/>
    </row>
    <row r="20" spans="1:14" s="29" customFormat="1" ht="75">
      <c r="A20" s="134">
        <v>13</v>
      </c>
      <c r="B20" s="197" t="s">
        <v>382</v>
      </c>
      <c r="C20" s="189" t="s">
        <v>383</v>
      </c>
      <c r="D20" s="45" t="s">
        <v>384</v>
      </c>
      <c r="E20" s="32" t="s">
        <v>350</v>
      </c>
      <c r="F20" s="198">
        <v>900000</v>
      </c>
      <c r="G20" s="45"/>
      <c r="H20" s="199">
        <v>43495</v>
      </c>
      <c r="I20" s="200">
        <v>0.01</v>
      </c>
      <c r="J20" s="200">
        <v>0</v>
      </c>
      <c r="K20" s="130"/>
      <c r="L20" s="130"/>
      <c r="M20" s="130">
        <f t="shared" si="0"/>
        <v>900000</v>
      </c>
      <c r="N20" s="134"/>
    </row>
    <row r="21" spans="1:14" s="29" customFormat="1" ht="60">
      <c r="A21" s="134">
        <v>14</v>
      </c>
      <c r="B21" s="201" t="s">
        <v>385</v>
      </c>
      <c r="C21" s="151" t="s">
        <v>386</v>
      </c>
      <c r="D21" s="45" t="s">
        <v>387</v>
      </c>
      <c r="E21" s="32" t="s">
        <v>350</v>
      </c>
      <c r="F21" s="130">
        <v>140000</v>
      </c>
      <c r="G21" s="129"/>
      <c r="H21" s="199">
        <v>43208</v>
      </c>
      <c r="I21" s="200">
        <v>0.8</v>
      </c>
      <c r="J21" s="200">
        <v>0</v>
      </c>
      <c r="K21" s="130"/>
      <c r="L21" s="130"/>
      <c r="M21" s="130">
        <f t="shared" si="0"/>
        <v>140000</v>
      </c>
      <c r="N21" s="134"/>
    </row>
    <row r="22" spans="1:14" s="29" customFormat="1" ht="105">
      <c r="A22" s="134">
        <v>15</v>
      </c>
      <c r="B22" s="201" t="s">
        <v>388</v>
      </c>
      <c r="C22" s="151" t="s">
        <v>389</v>
      </c>
      <c r="D22" s="45" t="s">
        <v>390</v>
      </c>
      <c r="E22" s="32" t="s">
        <v>350</v>
      </c>
      <c r="F22" s="198">
        <v>6249400</v>
      </c>
      <c r="G22" s="202"/>
      <c r="H22" s="199">
        <v>43829</v>
      </c>
      <c r="I22" s="200">
        <v>1</v>
      </c>
      <c r="J22" s="200">
        <v>0</v>
      </c>
      <c r="K22" s="130"/>
      <c r="L22" s="130"/>
      <c r="M22" s="130">
        <f t="shared" si="0"/>
        <v>6249400</v>
      </c>
      <c r="N22" s="134"/>
    </row>
    <row r="23" spans="1:14" s="29" customFormat="1" ht="120">
      <c r="A23" s="134">
        <v>16</v>
      </c>
      <c r="B23" s="197" t="s">
        <v>391</v>
      </c>
      <c r="C23" s="189" t="s">
        <v>392</v>
      </c>
      <c r="D23" s="45" t="s">
        <v>393</v>
      </c>
      <c r="E23" s="32" t="s">
        <v>350</v>
      </c>
      <c r="F23" s="198">
        <v>5651409</v>
      </c>
      <c r="G23" s="45"/>
      <c r="H23" s="199">
        <v>43814</v>
      </c>
      <c r="I23" s="200">
        <v>1</v>
      </c>
      <c r="J23" s="200">
        <v>0</v>
      </c>
      <c r="K23" s="130"/>
      <c r="L23" s="130"/>
      <c r="M23" s="130">
        <f t="shared" si="0"/>
        <v>5651409</v>
      </c>
      <c r="N23" s="134"/>
    </row>
    <row r="24" spans="1:14" s="29" customFormat="1" ht="75">
      <c r="A24" s="134">
        <v>17</v>
      </c>
      <c r="B24" s="197" t="s">
        <v>394</v>
      </c>
      <c r="C24" s="189" t="s">
        <v>395</v>
      </c>
      <c r="D24" s="45" t="s">
        <v>396</v>
      </c>
      <c r="E24" s="32" t="s">
        <v>350</v>
      </c>
      <c r="F24" s="198">
        <v>474100</v>
      </c>
      <c r="G24" s="45"/>
      <c r="H24" s="199">
        <v>43152</v>
      </c>
      <c r="I24" s="200">
        <v>0.79</v>
      </c>
      <c r="J24" s="200">
        <v>0</v>
      </c>
      <c r="K24" s="130"/>
      <c r="L24" s="130"/>
      <c r="M24" s="130">
        <f t="shared" si="0"/>
        <v>474100</v>
      </c>
      <c r="N24" s="134"/>
    </row>
    <row r="25" spans="1:14" s="29" customFormat="1" ht="60">
      <c r="A25" s="134">
        <v>18</v>
      </c>
      <c r="B25" s="197" t="s">
        <v>397</v>
      </c>
      <c r="C25" s="189" t="s">
        <v>398</v>
      </c>
      <c r="D25" s="45" t="s">
        <v>399</v>
      </c>
      <c r="E25" s="32" t="s">
        <v>350</v>
      </c>
      <c r="F25" s="198">
        <v>140000</v>
      </c>
      <c r="G25" s="45"/>
      <c r="H25" s="199">
        <v>43298</v>
      </c>
      <c r="I25" s="200">
        <v>0.9</v>
      </c>
      <c r="J25" s="200">
        <v>0</v>
      </c>
      <c r="K25" s="130"/>
      <c r="L25" s="130"/>
      <c r="M25" s="130">
        <f t="shared" si="0"/>
        <v>140000</v>
      </c>
      <c r="N25" s="134"/>
    </row>
    <row r="26" spans="1:14" s="29" customFormat="1" ht="60">
      <c r="A26" s="134">
        <v>19</v>
      </c>
      <c r="B26" s="197" t="s">
        <v>400</v>
      </c>
      <c r="C26" s="189" t="s">
        <v>398</v>
      </c>
      <c r="D26" s="45" t="s">
        <v>401</v>
      </c>
      <c r="E26" s="32" t="s">
        <v>350</v>
      </c>
      <c r="F26" s="198">
        <v>1000000</v>
      </c>
      <c r="G26" s="45"/>
      <c r="H26" s="199">
        <v>43414</v>
      </c>
      <c r="I26" s="200">
        <v>0.14000000000000001</v>
      </c>
      <c r="J26" s="200">
        <v>0</v>
      </c>
      <c r="K26" s="130"/>
      <c r="L26" s="130"/>
      <c r="M26" s="130">
        <f t="shared" si="0"/>
        <v>1000000</v>
      </c>
      <c r="N26" s="134"/>
    </row>
    <row r="27" spans="1:14" s="29" customFormat="1" ht="90">
      <c r="A27" s="134">
        <v>20</v>
      </c>
      <c r="B27" s="197" t="s">
        <v>402</v>
      </c>
      <c r="C27" s="189" t="s">
        <v>403</v>
      </c>
      <c r="D27" s="45" t="s">
        <v>404</v>
      </c>
      <c r="E27" s="32" t="s">
        <v>350</v>
      </c>
      <c r="F27" s="198">
        <v>435000</v>
      </c>
      <c r="G27" s="45"/>
      <c r="H27" s="199">
        <v>43262</v>
      </c>
      <c r="I27" s="200">
        <v>1</v>
      </c>
      <c r="J27" s="200">
        <v>0</v>
      </c>
      <c r="K27" s="130"/>
      <c r="L27" s="130"/>
      <c r="M27" s="130">
        <f t="shared" si="0"/>
        <v>435000</v>
      </c>
      <c r="N27" s="134"/>
    </row>
    <row r="28" spans="1:14" s="29" customFormat="1" ht="60">
      <c r="A28" s="134">
        <v>21</v>
      </c>
      <c r="B28" s="197" t="s">
        <v>405</v>
      </c>
      <c r="C28" s="162" t="s">
        <v>406</v>
      </c>
      <c r="D28" s="45" t="s">
        <v>407</v>
      </c>
      <c r="E28" s="32" t="s">
        <v>350</v>
      </c>
      <c r="F28" s="198">
        <v>2000000</v>
      </c>
      <c r="G28" s="45"/>
      <c r="H28" s="199">
        <v>43661</v>
      </c>
      <c r="I28" s="200">
        <v>0.81</v>
      </c>
      <c r="J28" s="200">
        <v>0</v>
      </c>
      <c r="K28" s="130"/>
      <c r="L28" s="130"/>
      <c r="M28" s="130">
        <f t="shared" si="0"/>
        <v>2000000</v>
      </c>
      <c r="N28" s="134"/>
    </row>
    <row r="29" spans="1:14" s="29" customFormat="1" ht="60">
      <c r="A29" s="134">
        <v>22</v>
      </c>
      <c r="B29" s="197" t="s">
        <v>408</v>
      </c>
      <c r="C29" s="162" t="s">
        <v>362</v>
      </c>
      <c r="D29" s="45" t="s">
        <v>409</v>
      </c>
      <c r="E29" s="32" t="s">
        <v>350</v>
      </c>
      <c r="F29" s="198">
        <v>1571400</v>
      </c>
      <c r="G29" s="45"/>
      <c r="H29" s="199">
        <v>43436</v>
      </c>
      <c r="I29" s="200">
        <v>0</v>
      </c>
      <c r="J29" s="200">
        <v>0</v>
      </c>
      <c r="K29" s="130"/>
      <c r="L29" s="130"/>
      <c r="M29" s="130">
        <f t="shared" si="0"/>
        <v>1571400</v>
      </c>
      <c r="N29" s="134"/>
    </row>
    <row r="30" spans="1:14" s="29" customFormat="1" ht="60">
      <c r="A30" s="134">
        <v>23</v>
      </c>
      <c r="B30" s="197" t="s">
        <v>410</v>
      </c>
      <c r="C30" s="162" t="s">
        <v>411</v>
      </c>
      <c r="D30" s="45" t="s">
        <v>412</v>
      </c>
      <c r="E30" s="32" t="s">
        <v>350</v>
      </c>
      <c r="F30" s="198">
        <v>60900</v>
      </c>
      <c r="G30" s="45"/>
      <c r="H30" s="199">
        <v>43225</v>
      </c>
      <c r="I30" s="200">
        <v>0.98</v>
      </c>
      <c r="J30" s="200">
        <v>0</v>
      </c>
      <c r="K30" s="130"/>
      <c r="L30" s="130"/>
      <c r="M30" s="130">
        <f t="shared" si="0"/>
        <v>60900</v>
      </c>
      <c r="N30" s="134"/>
    </row>
    <row r="31" spans="1:14" s="29" customFormat="1" ht="60">
      <c r="A31" s="134">
        <v>24</v>
      </c>
      <c r="B31" s="197" t="s">
        <v>413</v>
      </c>
      <c r="C31" s="162" t="s">
        <v>414</v>
      </c>
      <c r="D31" s="45" t="s">
        <v>415</v>
      </c>
      <c r="E31" s="32" t="s">
        <v>350</v>
      </c>
      <c r="F31" s="198">
        <v>687700</v>
      </c>
      <c r="G31" s="45"/>
      <c r="H31" s="199">
        <v>43141</v>
      </c>
      <c r="I31" s="200">
        <v>1</v>
      </c>
      <c r="J31" s="200">
        <v>0</v>
      </c>
      <c r="K31" s="130"/>
      <c r="L31" s="130"/>
      <c r="M31" s="130">
        <f t="shared" si="0"/>
        <v>687700</v>
      </c>
      <c r="N31" s="134"/>
    </row>
    <row r="32" spans="1:14" s="29" customFormat="1" ht="60">
      <c r="A32" s="134">
        <v>25</v>
      </c>
      <c r="B32" s="197" t="s">
        <v>416</v>
      </c>
      <c r="C32" s="162" t="s">
        <v>417</v>
      </c>
      <c r="D32" s="45" t="s">
        <v>418</v>
      </c>
      <c r="E32" s="32" t="s">
        <v>350</v>
      </c>
      <c r="F32" s="198">
        <v>245600</v>
      </c>
      <c r="G32" s="45"/>
      <c r="H32" s="199">
        <v>43172</v>
      </c>
      <c r="I32" s="200">
        <v>1</v>
      </c>
      <c r="J32" s="200">
        <v>0</v>
      </c>
      <c r="K32" s="130"/>
      <c r="L32" s="130"/>
      <c r="M32" s="130">
        <f t="shared" si="0"/>
        <v>245600</v>
      </c>
      <c r="N32" s="134"/>
    </row>
    <row r="33" spans="1:14" s="29" customFormat="1" ht="90">
      <c r="A33" s="134">
        <v>26</v>
      </c>
      <c r="B33" s="197" t="s">
        <v>419</v>
      </c>
      <c r="C33" s="162" t="s">
        <v>420</v>
      </c>
      <c r="D33" s="45" t="s">
        <v>381</v>
      </c>
      <c r="E33" s="32" t="s">
        <v>350</v>
      </c>
      <c r="F33" s="198">
        <v>2596600</v>
      </c>
      <c r="G33" s="45"/>
      <c r="H33" s="203">
        <v>43464</v>
      </c>
      <c r="I33" s="204">
        <v>1</v>
      </c>
      <c r="J33" s="200">
        <v>0</v>
      </c>
      <c r="K33" s="130"/>
      <c r="L33" s="130"/>
      <c r="M33" s="130">
        <f t="shared" si="0"/>
        <v>2596600</v>
      </c>
      <c r="N33" s="134"/>
    </row>
    <row r="34" spans="1:14" s="29" customFormat="1" ht="75">
      <c r="A34" s="134">
        <v>27</v>
      </c>
      <c r="B34" s="197" t="s">
        <v>421</v>
      </c>
      <c r="C34" s="162" t="s">
        <v>414</v>
      </c>
      <c r="D34" s="45" t="s">
        <v>422</v>
      </c>
      <c r="E34" s="32" t="s">
        <v>350</v>
      </c>
      <c r="F34" s="198">
        <v>350200</v>
      </c>
      <c r="G34" s="45"/>
      <c r="H34" s="203">
        <v>43174</v>
      </c>
      <c r="I34" s="204" t="s">
        <v>423</v>
      </c>
      <c r="J34" s="200">
        <v>0</v>
      </c>
      <c r="K34" s="130"/>
      <c r="L34" s="130"/>
      <c r="M34" s="130">
        <f t="shared" si="0"/>
        <v>350200</v>
      </c>
      <c r="N34" s="134"/>
    </row>
    <row r="35" spans="1:14" s="29" customFormat="1" ht="75">
      <c r="A35" s="134">
        <v>28</v>
      </c>
      <c r="B35" s="197" t="s">
        <v>424</v>
      </c>
      <c r="C35" s="162" t="s">
        <v>392</v>
      </c>
      <c r="D35" s="45" t="s">
        <v>425</v>
      </c>
      <c r="E35" s="32" t="s">
        <v>350</v>
      </c>
      <c r="F35" s="198">
        <v>59300</v>
      </c>
      <c r="G35" s="45"/>
      <c r="H35" s="203">
        <v>43115</v>
      </c>
      <c r="I35" s="204" t="s">
        <v>423</v>
      </c>
      <c r="J35" s="200">
        <v>0</v>
      </c>
      <c r="K35" s="130"/>
      <c r="L35" s="130"/>
      <c r="M35" s="130">
        <f t="shared" si="0"/>
        <v>59300</v>
      </c>
      <c r="N35" s="134"/>
    </row>
    <row r="36" spans="1:14" s="29" customFormat="1" ht="75">
      <c r="A36" s="134">
        <v>29</v>
      </c>
      <c r="B36" s="197" t="s">
        <v>426</v>
      </c>
      <c r="C36" s="162" t="s">
        <v>427</v>
      </c>
      <c r="D36" s="45" t="s">
        <v>422</v>
      </c>
      <c r="E36" s="32" t="s">
        <v>350</v>
      </c>
      <c r="F36" s="198">
        <v>327400</v>
      </c>
      <c r="G36" s="45"/>
      <c r="H36" s="203">
        <v>43160</v>
      </c>
      <c r="I36" s="204" t="s">
        <v>423</v>
      </c>
      <c r="J36" s="200">
        <v>0</v>
      </c>
      <c r="K36" s="130"/>
      <c r="L36" s="130"/>
      <c r="M36" s="130">
        <f t="shared" si="0"/>
        <v>327400</v>
      </c>
      <c r="N36" s="134"/>
    </row>
    <row r="37" spans="1:14" s="29" customFormat="1" ht="105">
      <c r="A37" s="134">
        <v>30</v>
      </c>
      <c r="B37" s="197" t="s">
        <v>428</v>
      </c>
      <c r="C37" s="162" t="s">
        <v>429</v>
      </c>
      <c r="D37" s="45" t="s">
        <v>430</v>
      </c>
      <c r="E37" s="32" t="s">
        <v>350</v>
      </c>
      <c r="F37" s="198">
        <v>205800</v>
      </c>
      <c r="G37" s="45"/>
      <c r="H37" s="199">
        <v>43267</v>
      </c>
      <c r="I37" s="200">
        <v>1</v>
      </c>
      <c r="J37" s="200">
        <v>0</v>
      </c>
      <c r="K37" s="130"/>
      <c r="L37" s="130"/>
      <c r="M37" s="130">
        <f t="shared" si="0"/>
        <v>205800</v>
      </c>
      <c r="N37" s="134"/>
    </row>
    <row r="38" spans="1:14" s="29" customFormat="1" ht="60">
      <c r="A38" s="134">
        <v>31</v>
      </c>
      <c r="B38" s="197" t="s">
        <v>431</v>
      </c>
      <c r="C38" s="162" t="s">
        <v>389</v>
      </c>
      <c r="D38" s="45" t="s">
        <v>432</v>
      </c>
      <c r="E38" s="32" t="s">
        <v>350</v>
      </c>
      <c r="F38" s="198">
        <v>6500000</v>
      </c>
      <c r="G38" s="45"/>
      <c r="H38" s="199">
        <v>43845</v>
      </c>
      <c r="I38" s="200">
        <v>0.81</v>
      </c>
      <c r="J38" s="200">
        <v>0</v>
      </c>
      <c r="K38" s="130"/>
      <c r="L38" s="130"/>
      <c r="M38" s="130">
        <f t="shared" si="0"/>
        <v>6500000</v>
      </c>
      <c r="N38" s="134"/>
    </row>
    <row r="39" spans="1:14" s="29" customFormat="1" ht="75">
      <c r="A39" s="134">
        <v>32</v>
      </c>
      <c r="B39" s="197" t="s">
        <v>433</v>
      </c>
      <c r="C39" s="162" t="s">
        <v>389</v>
      </c>
      <c r="D39" s="45" t="s">
        <v>396</v>
      </c>
      <c r="E39" s="32" t="s">
        <v>350</v>
      </c>
      <c r="F39" s="198">
        <v>474100</v>
      </c>
      <c r="G39" s="45"/>
      <c r="H39" s="199">
        <v>43126</v>
      </c>
      <c r="I39" s="200">
        <v>0.8</v>
      </c>
      <c r="J39" s="200">
        <v>0</v>
      </c>
      <c r="K39" s="130"/>
      <c r="L39" s="130"/>
      <c r="M39" s="130">
        <f t="shared" si="0"/>
        <v>474100</v>
      </c>
      <c r="N39" s="134"/>
    </row>
    <row r="40" spans="1:14" s="29" customFormat="1" ht="60">
      <c r="A40" s="134">
        <v>33</v>
      </c>
      <c r="B40" s="197" t="s">
        <v>434</v>
      </c>
      <c r="C40" s="162" t="s">
        <v>380</v>
      </c>
      <c r="D40" s="45" t="s">
        <v>435</v>
      </c>
      <c r="E40" s="32" t="s">
        <v>350</v>
      </c>
      <c r="F40" s="198">
        <v>299000</v>
      </c>
      <c r="G40" s="45"/>
      <c r="H40" s="199">
        <v>43112</v>
      </c>
      <c r="I40" s="204" t="s">
        <v>423</v>
      </c>
      <c r="J40" s="200">
        <v>0</v>
      </c>
      <c r="K40" s="130"/>
      <c r="L40" s="130"/>
      <c r="M40" s="130">
        <f t="shared" si="0"/>
        <v>299000</v>
      </c>
      <c r="N40" s="134"/>
    </row>
    <row r="41" spans="1:14" s="29" customFormat="1" ht="75.75" thickBot="1">
      <c r="A41" s="134">
        <v>34</v>
      </c>
      <c r="B41" s="197" t="s">
        <v>436</v>
      </c>
      <c r="C41" s="162" t="s">
        <v>389</v>
      </c>
      <c r="D41" s="45" t="s">
        <v>437</v>
      </c>
      <c r="E41" s="32" t="s">
        <v>350</v>
      </c>
      <c r="F41" s="205">
        <v>50400</v>
      </c>
      <c r="G41" s="146"/>
      <c r="H41" s="199">
        <v>43203</v>
      </c>
      <c r="I41" s="206">
        <v>1</v>
      </c>
      <c r="J41" s="206">
        <v>0</v>
      </c>
      <c r="K41" s="207"/>
      <c r="L41" s="207"/>
      <c r="M41" s="130">
        <f t="shared" si="0"/>
        <v>50400</v>
      </c>
      <c r="N41" s="208"/>
    </row>
    <row r="42" spans="1:14" ht="16.5" thickBot="1">
      <c r="A42" s="190" t="s">
        <v>438</v>
      </c>
      <c r="B42" s="191"/>
      <c r="C42" s="73"/>
      <c r="D42" s="73"/>
      <c r="E42" s="66" t="s">
        <v>54</v>
      </c>
      <c r="F42" s="67">
        <f>SUM(F8:F41)</f>
        <v>41635989</v>
      </c>
      <c r="G42" s="68">
        <f>SUM(G8:G20)</f>
        <v>0</v>
      </c>
      <c r="H42" s="192"/>
      <c r="I42" s="193"/>
      <c r="J42" s="193"/>
      <c r="K42" s="194">
        <f>SUM(K8:K41)</f>
        <v>609387.97</v>
      </c>
      <c r="L42" s="195">
        <f>SUM(L8:L41)</f>
        <v>300361.2</v>
      </c>
      <c r="M42" s="195">
        <f>SUM(M8:M41)</f>
        <v>40726239.829999998</v>
      </c>
      <c r="N42" s="196"/>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13" workbookViewId="0">
      <selection activeCell="E3" sqref="E3"/>
    </sheetView>
  </sheetViews>
  <sheetFormatPr defaultRowHeight="15"/>
  <cols>
    <col min="1" max="1" width="15" customWidth="1"/>
    <col min="2" max="2" width="25.42578125" customWidth="1"/>
    <col min="3" max="3" width="27.7109375" customWidth="1"/>
    <col min="4" max="4" width="15.28515625" customWidth="1"/>
    <col min="5" max="5" width="18.140625" customWidth="1"/>
    <col min="6" max="6" width="22.42578125" customWidth="1"/>
    <col min="7" max="7" width="20.5703125" customWidth="1"/>
    <col min="10" max="10" width="15" customWidth="1"/>
    <col min="11" max="11" width="16.5703125" customWidth="1"/>
    <col min="12" max="12" width="15.7109375" customWidth="1"/>
  </cols>
  <sheetData>
    <row r="1" spans="1:13" ht="15.75">
      <c r="A1" s="20" t="s">
        <v>17</v>
      </c>
      <c r="B1" s="537" t="s">
        <v>18</v>
      </c>
      <c r="C1" s="538"/>
      <c r="D1" s="21"/>
      <c r="H1" s="22"/>
    </row>
    <row r="2" spans="1:13" ht="15.75">
      <c r="A2" s="20" t="s">
        <v>19</v>
      </c>
      <c r="B2" s="539">
        <v>42979</v>
      </c>
      <c r="C2" s="540"/>
      <c r="D2" s="23"/>
      <c r="F2" s="22"/>
      <c r="G2" s="24"/>
      <c r="H2" s="22"/>
      <c r="I2" s="22"/>
      <c r="L2" s="25">
        <v>42979</v>
      </c>
    </row>
    <row r="3" spans="1:13" ht="31.5">
      <c r="A3" s="20" t="s">
        <v>20</v>
      </c>
      <c r="B3" s="541" t="s">
        <v>21</v>
      </c>
      <c r="C3" s="542"/>
      <c r="D3" s="26"/>
    </row>
    <row r="4" spans="1:13" ht="15.75">
      <c r="A4" s="27"/>
      <c r="B4" s="28"/>
      <c r="C4" s="29"/>
      <c r="D4" s="29"/>
    </row>
    <row r="5" spans="1:13">
      <c r="A5" s="547" t="s">
        <v>22</v>
      </c>
      <c r="B5" s="547" t="s">
        <v>23</v>
      </c>
      <c r="C5" s="547" t="s">
        <v>24</v>
      </c>
      <c r="D5" s="547" t="s">
        <v>25</v>
      </c>
      <c r="E5" s="547" t="s">
        <v>15</v>
      </c>
      <c r="F5" s="547" t="s">
        <v>14</v>
      </c>
      <c r="G5" s="559" t="s">
        <v>26</v>
      </c>
      <c r="H5" s="562" t="s">
        <v>27</v>
      </c>
      <c r="I5" s="565" t="s">
        <v>28</v>
      </c>
      <c r="J5" s="556" t="s">
        <v>29</v>
      </c>
      <c r="K5" s="556" t="s">
        <v>30</v>
      </c>
      <c r="L5" s="543" t="s">
        <v>9</v>
      </c>
      <c r="M5" s="543" t="s">
        <v>31</v>
      </c>
    </row>
    <row r="6" spans="1:13">
      <c r="A6" s="547"/>
      <c r="B6" s="547"/>
      <c r="C6" s="547"/>
      <c r="D6" s="547"/>
      <c r="E6" s="547"/>
      <c r="F6" s="547"/>
      <c r="G6" s="560"/>
      <c r="H6" s="563"/>
      <c r="I6" s="565"/>
      <c r="J6" s="557"/>
      <c r="K6" s="557"/>
      <c r="L6" s="544"/>
      <c r="M6" s="544"/>
    </row>
    <row r="7" spans="1:13">
      <c r="A7" s="547"/>
      <c r="B7" s="547"/>
      <c r="C7" s="547"/>
      <c r="D7" s="547"/>
      <c r="E7" s="547"/>
      <c r="F7" s="547"/>
      <c r="G7" s="561"/>
      <c r="H7" s="564"/>
      <c r="I7" s="565"/>
      <c r="J7" s="558"/>
      <c r="K7" s="558"/>
      <c r="L7" s="545"/>
      <c r="M7" s="545"/>
    </row>
    <row r="8" spans="1:13" s="29" customFormat="1" ht="60">
      <c r="A8" s="30">
        <v>303</v>
      </c>
      <c r="B8" s="31" t="s">
        <v>32</v>
      </c>
      <c r="C8" s="32" t="s">
        <v>33</v>
      </c>
      <c r="D8" s="30" t="s">
        <v>34</v>
      </c>
      <c r="E8" s="33">
        <v>2000000</v>
      </c>
      <c r="F8" s="33">
        <v>2000000</v>
      </c>
      <c r="G8" s="34">
        <v>44926</v>
      </c>
      <c r="H8" s="35">
        <v>0</v>
      </c>
      <c r="I8" s="35">
        <v>0</v>
      </c>
      <c r="J8" s="36">
        <v>0</v>
      </c>
      <c r="K8" s="36">
        <v>0</v>
      </c>
      <c r="L8" s="33">
        <v>0</v>
      </c>
      <c r="M8" s="30" t="s">
        <v>35</v>
      </c>
    </row>
    <row r="9" spans="1:13" ht="137.25">
      <c r="A9" s="30">
        <v>303</v>
      </c>
      <c r="B9" s="31" t="s">
        <v>36</v>
      </c>
      <c r="C9" s="32" t="s">
        <v>37</v>
      </c>
      <c r="D9" s="30" t="s">
        <v>34</v>
      </c>
      <c r="E9" s="33">
        <v>39000000</v>
      </c>
      <c r="F9" s="33">
        <v>39000000</v>
      </c>
      <c r="G9" s="34">
        <v>44926</v>
      </c>
      <c r="H9" s="35">
        <v>0</v>
      </c>
      <c r="I9" s="35">
        <v>0</v>
      </c>
      <c r="J9" s="36">
        <v>0</v>
      </c>
      <c r="K9" s="36">
        <v>0</v>
      </c>
      <c r="L9" s="33">
        <v>0</v>
      </c>
      <c r="M9" s="30" t="s">
        <v>35</v>
      </c>
    </row>
    <row r="10" spans="1:13" s="29" customFormat="1" ht="174.75">
      <c r="A10" s="30">
        <v>303</v>
      </c>
      <c r="B10" s="38" t="s">
        <v>38</v>
      </c>
      <c r="C10" s="32" t="s">
        <v>39</v>
      </c>
      <c r="D10" s="30" t="s">
        <v>34</v>
      </c>
      <c r="E10" s="39">
        <v>19500000</v>
      </c>
      <c r="F10" s="39">
        <v>19500000</v>
      </c>
      <c r="G10" s="34">
        <v>44926</v>
      </c>
      <c r="H10" s="35">
        <v>0</v>
      </c>
      <c r="I10" s="35">
        <v>0</v>
      </c>
      <c r="J10" s="44">
        <v>0</v>
      </c>
      <c r="K10" s="44">
        <v>0</v>
      </c>
      <c r="L10" s="33">
        <v>0</v>
      </c>
      <c r="M10" s="30" t="s">
        <v>35</v>
      </c>
    </row>
    <row r="11" spans="1:13" ht="135">
      <c r="A11" s="37">
        <v>303</v>
      </c>
      <c r="B11" s="43" t="s">
        <v>40</v>
      </c>
      <c r="C11" s="43" t="s">
        <v>41</v>
      </c>
      <c r="D11" s="30" t="s">
        <v>34</v>
      </c>
      <c r="E11" s="39">
        <v>10000000</v>
      </c>
      <c r="F11" s="40">
        <v>10000000</v>
      </c>
      <c r="G11" s="41">
        <v>44926</v>
      </c>
      <c r="H11" s="35">
        <v>0</v>
      </c>
      <c r="I11" s="35">
        <v>0</v>
      </c>
      <c r="J11" s="44">
        <v>0</v>
      </c>
      <c r="K11" s="44">
        <v>0</v>
      </c>
      <c r="L11" s="33">
        <v>0</v>
      </c>
      <c r="M11" s="30" t="s">
        <v>35</v>
      </c>
    </row>
    <row r="12" spans="1:13" s="29" customFormat="1" ht="90">
      <c r="A12" s="30">
        <v>303</v>
      </c>
      <c r="B12" s="43" t="s">
        <v>42</v>
      </c>
      <c r="C12" s="43" t="s">
        <v>43</v>
      </c>
      <c r="D12" s="30" t="s">
        <v>34</v>
      </c>
      <c r="E12" s="39">
        <v>1000000</v>
      </c>
      <c r="F12" s="39">
        <v>1000000</v>
      </c>
      <c r="G12" s="34">
        <v>44926</v>
      </c>
      <c r="H12" s="35">
        <v>0</v>
      </c>
      <c r="I12" s="35">
        <v>0</v>
      </c>
      <c r="J12" s="44">
        <v>0</v>
      </c>
      <c r="K12" s="44">
        <v>0</v>
      </c>
      <c r="L12" s="33">
        <v>0</v>
      </c>
      <c r="M12" s="30" t="s">
        <v>35</v>
      </c>
    </row>
    <row r="13" spans="1:13" ht="75">
      <c r="A13" s="37">
        <v>303</v>
      </c>
      <c r="B13" s="45" t="s">
        <v>44</v>
      </c>
      <c r="C13" s="43" t="s">
        <v>45</v>
      </c>
      <c r="D13" s="30" t="s">
        <v>34</v>
      </c>
      <c r="E13" s="39">
        <v>5850000</v>
      </c>
      <c r="F13" s="40">
        <v>5850000</v>
      </c>
      <c r="G13" s="41">
        <v>44926</v>
      </c>
      <c r="H13" s="35">
        <v>0</v>
      </c>
      <c r="I13" s="35">
        <v>0</v>
      </c>
      <c r="J13" s="44">
        <v>0</v>
      </c>
      <c r="K13" s="44">
        <v>0</v>
      </c>
      <c r="L13" s="33">
        <v>0</v>
      </c>
      <c r="M13" s="30" t="s">
        <v>35</v>
      </c>
    </row>
    <row r="14" spans="1:13" s="29" customFormat="1" ht="30">
      <c r="A14" s="30">
        <v>303</v>
      </c>
      <c r="B14" s="43" t="s">
        <v>46</v>
      </c>
      <c r="C14" s="43" t="s">
        <v>47</v>
      </c>
      <c r="D14" s="30" t="s">
        <v>34</v>
      </c>
      <c r="E14" s="39">
        <v>2200000</v>
      </c>
      <c r="F14" s="39">
        <v>2200000</v>
      </c>
      <c r="G14" s="34">
        <v>44926</v>
      </c>
      <c r="H14" s="35">
        <v>0</v>
      </c>
      <c r="I14" s="35">
        <v>0</v>
      </c>
      <c r="J14" s="44">
        <v>0</v>
      </c>
      <c r="K14" s="44">
        <v>0</v>
      </c>
      <c r="L14" s="33">
        <v>0</v>
      </c>
      <c r="M14" s="30" t="s">
        <v>35</v>
      </c>
    </row>
    <row r="15" spans="1:13" s="29" customFormat="1" ht="90">
      <c r="A15" s="30">
        <v>303</v>
      </c>
      <c r="B15" s="43" t="s">
        <v>48</v>
      </c>
      <c r="C15" s="43" t="s">
        <v>49</v>
      </c>
      <c r="D15" s="30" t="s">
        <v>34</v>
      </c>
      <c r="E15" s="39">
        <v>5150000</v>
      </c>
      <c r="F15" s="39">
        <v>5150000</v>
      </c>
      <c r="G15" s="34">
        <v>44926</v>
      </c>
      <c r="H15" s="35">
        <v>0</v>
      </c>
      <c r="I15" s="35">
        <v>0</v>
      </c>
      <c r="J15" s="44">
        <v>0</v>
      </c>
      <c r="K15" s="44">
        <v>0</v>
      </c>
      <c r="L15" s="33">
        <v>0</v>
      </c>
      <c r="M15" s="30" t="s">
        <v>35</v>
      </c>
    </row>
    <row r="16" spans="1:13" ht="45">
      <c r="A16" s="46">
        <v>303</v>
      </c>
      <c r="B16" s="43" t="s">
        <v>50</v>
      </c>
      <c r="C16" s="43" t="s">
        <v>51</v>
      </c>
      <c r="D16" s="30" t="s">
        <v>34</v>
      </c>
      <c r="E16" s="39">
        <v>2300000</v>
      </c>
      <c r="F16" s="40">
        <v>2300000</v>
      </c>
      <c r="G16" s="41">
        <v>44926</v>
      </c>
      <c r="H16" s="35">
        <v>0</v>
      </c>
      <c r="I16" s="35">
        <v>0</v>
      </c>
      <c r="J16" s="42">
        <v>0</v>
      </c>
      <c r="K16" s="42">
        <v>0</v>
      </c>
      <c r="L16" s="33">
        <v>0</v>
      </c>
      <c r="M16" s="30" t="s">
        <v>35</v>
      </c>
    </row>
    <row r="17" spans="1:13" s="29" customFormat="1" ht="390">
      <c r="A17" s="30">
        <v>303</v>
      </c>
      <c r="B17" s="43" t="s">
        <v>52</v>
      </c>
      <c r="C17" s="45" t="s">
        <v>53</v>
      </c>
      <c r="D17" s="30" t="s">
        <v>34</v>
      </c>
      <c r="E17" s="72">
        <v>3000000</v>
      </c>
      <c r="F17" s="39">
        <v>3000000</v>
      </c>
      <c r="G17" s="34">
        <v>43830</v>
      </c>
      <c r="H17" s="35">
        <v>0</v>
      </c>
      <c r="I17" s="35">
        <v>0</v>
      </c>
      <c r="J17" s="44">
        <v>0</v>
      </c>
      <c r="K17" s="44">
        <v>0</v>
      </c>
      <c r="L17" s="33">
        <v>0</v>
      </c>
      <c r="M17" s="30" t="s">
        <v>35</v>
      </c>
    </row>
    <row r="18" spans="1:13">
      <c r="A18" s="37">
        <v>303</v>
      </c>
      <c r="B18" s="48"/>
      <c r="C18" s="43"/>
      <c r="D18" s="30"/>
      <c r="E18" s="47"/>
      <c r="F18" s="49"/>
      <c r="G18" s="41"/>
      <c r="H18" s="35"/>
      <c r="I18" s="35"/>
      <c r="J18" s="42"/>
      <c r="K18" s="42"/>
      <c r="L18" s="33"/>
      <c r="M18" s="30" t="s">
        <v>35</v>
      </c>
    </row>
    <row r="19" spans="1:13">
      <c r="A19" s="37">
        <v>303</v>
      </c>
      <c r="B19" s="48"/>
      <c r="C19" s="50"/>
      <c r="D19" s="30"/>
      <c r="E19" s="47"/>
      <c r="F19" s="49"/>
      <c r="G19" s="41"/>
      <c r="H19" s="35"/>
      <c r="I19" s="35"/>
      <c r="J19" s="42"/>
      <c r="K19" s="42"/>
      <c r="L19" s="33"/>
      <c r="M19" s="30" t="s">
        <v>35</v>
      </c>
    </row>
    <row r="20" spans="1:13" ht="15.75" thickBot="1">
      <c r="A20" s="37">
        <v>303</v>
      </c>
      <c r="B20" s="48"/>
      <c r="C20" s="50"/>
      <c r="D20" s="30"/>
      <c r="E20" s="47"/>
      <c r="F20" s="49"/>
      <c r="G20" s="41"/>
      <c r="H20" s="35"/>
      <c r="I20" s="35"/>
      <c r="J20" s="42"/>
      <c r="K20" s="42"/>
      <c r="L20" s="33"/>
      <c r="M20" s="30" t="s">
        <v>35</v>
      </c>
    </row>
    <row r="21" spans="1:13" ht="16.5" thickTop="1" thickBot="1">
      <c r="A21" s="46">
        <v>303</v>
      </c>
      <c r="B21" s="43"/>
      <c r="C21" s="51"/>
      <c r="D21" s="30"/>
      <c r="E21" s="52"/>
      <c r="F21" s="40"/>
      <c r="G21" s="53"/>
      <c r="H21" s="35"/>
      <c r="I21" s="35"/>
      <c r="J21" s="42"/>
      <c r="K21" s="42"/>
      <c r="L21" s="33"/>
      <c r="M21" s="54"/>
    </row>
    <row r="22" spans="1:13" ht="15.75" thickTop="1">
      <c r="A22" s="37">
        <v>303</v>
      </c>
      <c r="B22" s="43"/>
      <c r="C22" s="51"/>
      <c r="D22" s="30"/>
      <c r="E22" s="47"/>
      <c r="F22" s="55"/>
      <c r="G22" s="56"/>
      <c r="H22" s="35"/>
      <c r="I22" s="35"/>
      <c r="J22" s="42"/>
      <c r="K22" s="42"/>
      <c r="L22" s="33"/>
      <c r="M22" s="54"/>
    </row>
    <row r="23" spans="1:13">
      <c r="A23" s="37">
        <v>303</v>
      </c>
      <c r="B23" s="43"/>
      <c r="C23" s="57"/>
      <c r="D23" s="58"/>
      <c r="E23" s="59"/>
      <c r="F23" s="60"/>
      <c r="G23" s="41"/>
      <c r="H23" s="35"/>
      <c r="I23" s="35"/>
      <c r="J23" s="42"/>
      <c r="K23" s="42"/>
      <c r="L23" s="33"/>
      <c r="M23" s="61"/>
    </row>
    <row r="24" spans="1:13">
      <c r="A24" s="37">
        <v>303</v>
      </c>
      <c r="B24" s="43"/>
      <c r="C24" s="57"/>
      <c r="D24" s="58"/>
      <c r="E24" s="59"/>
      <c r="F24" s="60"/>
      <c r="G24" s="41"/>
      <c r="H24" s="35"/>
      <c r="I24" s="35"/>
      <c r="J24" s="42"/>
      <c r="K24" s="42"/>
      <c r="L24" s="62"/>
      <c r="M24" s="61"/>
    </row>
    <row r="25" spans="1:13">
      <c r="A25" s="37">
        <v>303</v>
      </c>
      <c r="B25" s="48"/>
      <c r="C25" s="63"/>
      <c r="D25" s="58"/>
      <c r="E25" s="59"/>
      <c r="F25" s="59"/>
      <c r="G25" s="41"/>
      <c r="H25" s="35"/>
      <c r="I25" s="35"/>
      <c r="J25" s="42"/>
      <c r="K25" s="42"/>
      <c r="L25" s="62"/>
      <c r="M25" s="61"/>
    </row>
    <row r="26" spans="1:13">
      <c r="A26" s="37">
        <v>303</v>
      </c>
      <c r="B26" s="43"/>
      <c r="C26" s="57"/>
      <c r="D26" s="58"/>
      <c r="E26" s="59"/>
      <c r="F26" s="60"/>
      <c r="G26" s="41"/>
      <c r="H26" s="35"/>
      <c r="I26" s="35"/>
      <c r="J26" s="42"/>
      <c r="K26" s="42"/>
      <c r="L26" s="62"/>
      <c r="M26" s="61"/>
    </row>
    <row r="27" spans="1:13">
      <c r="A27" s="37">
        <v>303</v>
      </c>
      <c r="B27" s="43"/>
      <c r="C27" s="57"/>
      <c r="D27" s="58"/>
      <c r="E27" s="59"/>
      <c r="F27" s="60"/>
      <c r="G27" s="41"/>
      <c r="H27" s="35"/>
      <c r="I27" s="35"/>
      <c r="J27" s="42"/>
      <c r="K27" s="42"/>
      <c r="L27" s="62"/>
      <c r="M27" s="61"/>
    </row>
    <row r="28" spans="1:13">
      <c r="A28" s="37">
        <v>303</v>
      </c>
      <c r="B28" s="43"/>
      <c r="C28" s="57"/>
      <c r="D28" s="58"/>
      <c r="E28" s="59"/>
      <c r="F28" s="60"/>
      <c r="G28" s="41"/>
      <c r="H28" s="35"/>
      <c r="I28" s="35"/>
      <c r="J28" s="42"/>
      <c r="K28" s="42"/>
      <c r="L28" s="62"/>
      <c r="M28" s="61"/>
    </row>
    <row r="29" spans="1:13">
      <c r="A29" s="37">
        <v>303</v>
      </c>
      <c r="B29" s="43"/>
      <c r="C29" s="57"/>
      <c r="D29" s="58"/>
      <c r="E29" s="59"/>
      <c r="F29" s="60"/>
      <c r="G29" s="41"/>
      <c r="H29" s="35"/>
      <c r="I29" s="35"/>
      <c r="J29" s="42"/>
      <c r="K29" s="42"/>
      <c r="L29" s="62"/>
      <c r="M29" s="61"/>
    </row>
    <row r="30" spans="1:13">
      <c r="A30" s="37">
        <v>303</v>
      </c>
      <c r="B30" s="43"/>
      <c r="C30" s="57"/>
      <c r="D30" s="58"/>
      <c r="E30" s="59"/>
      <c r="F30" s="60"/>
      <c r="G30" s="41"/>
      <c r="H30" s="35"/>
      <c r="I30" s="35"/>
      <c r="J30" s="42"/>
      <c r="K30" s="42"/>
      <c r="L30" s="62"/>
      <c r="M30" s="61"/>
    </row>
    <row r="31" spans="1:13">
      <c r="A31" s="37">
        <v>303</v>
      </c>
      <c r="B31" s="43"/>
      <c r="C31" s="57"/>
      <c r="D31" s="58"/>
      <c r="E31" s="59"/>
      <c r="F31" s="60"/>
      <c r="G31" s="41"/>
      <c r="H31" s="35"/>
      <c r="I31" s="35"/>
      <c r="J31" s="42"/>
      <c r="K31" s="42"/>
      <c r="L31" s="62"/>
      <c r="M31" s="61"/>
    </row>
    <row r="32" spans="1:13" ht="15.75" thickBot="1">
      <c r="A32" s="37"/>
      <c r="B32" s="48"/>
      <c r="C32" s="63"/>
      <c r="D32" s="58"/>
      <c r="E32" s="59"/>
      <c r="F32" s="59"/>
      <c r="G32" s="41"/>
      <c r="H32" s="35"/>
      <c r="I32" s="35"/>
      <c r="J32" s="42"/>
      <c r="K32" s="42"/>
      <c r="L32" s="62"/>
      <c r="M32" s="61"/>
    </row>
    <row r="33" spans="1:13" ht="16.5" thickBot="1">
      <c r="A33" s="64"/>
      <c r="B33" s="65"/>
      <c r="C33" s="65"/>
      <c r="D33" s="66" t="s">
        <v>54</v>
      </c>
      <c r="E33" s="67">
        <f>SUM(E8:E32)</f>
        <v>90000000</v>
      </c>
      <c r="F33" s="68">
        <f>SUM(F8:F32)</f>
        <v>90000000</v>
      </c>
      <c r="G33" s="69"/>
      <c r="H33" s="70"/>
      <c r="I33" s="70"/>
      <c r="J33" s="67">
        <f>SUM(J8:J32)</f>
        <v>0</v>
      </c>
      <c r="K33" s="68">
        <f>SUM(K8:K32)</f>
        <v>0</v>
      </c>
      <c r="L33" s="71">
        <f t="shared" ref="L33" si="0">F33-J33-K33</f>
        <v>90000000</v>
      </c>
      <c r="M33" s="69"/>
    </row>
  </sheetData>
  <mergeCells count="16">
    <mergeCell ref="J5:J7"/>
    <mergeCell ref="K5:K7"/>
    <mergeCell ref="L5:L7"/>
    <mergeCell ref="M5:M7"/>
    <mergeCell ref="D5:D7"/>
    <mergeCell ref="E5:E7"/>
    <mergeCell ref="F5:F7"/>
    <mergeCell ref="G5:G7"/>
    <mergeCell ref="H5:H7"/>
    <mergeCell ref="I5:I7"/>
    <mergeCell ref="B1:C1"/>
    <mergeCell ref="B2:C2"/>
    <mergeCell ref="B3:C3"/>
    <mergeCell ref="A5:A7"/>
    <mergeCell ref="B5:B7"/>
    <mergeCell ref="C5:C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90"/>
  <sheetViews>
    <sheetView topLeftCell="A183" zoomScale="80" zoomScaleNormal="80" workbookViewId="0">
      <selection activeCell="E206" sqref="E206"/>
    </sheetView>
  </sheetViews>
  <sheetFormatPr defaultRowHeight="15"/>
  <cols>
    <col min="10" max="10" width="14.140625" customWidth="1"/>
    <col min="11" max="11" width="15.85546875" customWidth="1"/>
    <col min="12" max="12" width="16.140625" customWidth="1"/>
    <col min="13" max="13" width="21" customWidth="1"/>
    <col min="14" max="14" width="19.85546875" customWidth="1"/>
    <col min="15" max="15" width="15.5703125" customWidth="1"/>
    <col min="16" max="16" width="13.7109375" customWidth="1"/>
    <col min="17" max="17" width="16" customWidth="1"/>
    <col min="18" max="18" width="15" customWidth="1"/>
    <col min="19" max="19" width="14" customWidth="1"/>
    <col min="20" max="20" width="20.5703125" customWidth="1"/>
    <col min="21" max="21" width="12.5703125" customWidth="1"/>
  </cols>
  <sheetData>
    <row r="1" spans="1:21" ht="47.25" customHeight="1">
      <c r="A1" s="411"/>
      <c r="B1" s="412"/>
      <c r="C1" s="413"/>
      <c r="D1" s="413"/>
      <c r="E1" s="413"/>
      <c r="F1" s="413"/>
      <c r="G1" s="413"/>
      <c r="H1" s="413"/>
      <c r="I1" s="414" t="s">
        <v>830</v>
      </c>
      <c r="J1" s="591" t="s">
        <v>831</v>
      </c>
      <c r="K1" s="592"/>
      <c r="L1" s="593" t="s">
        <v>832</v>
      </c>
      <c r="M1" s="595"/>
      <c r="N1" s="415"/>
      <c r="O1" s="416"/>
      <c r="P1" s="417"/>
      <c r="Q1" s="417"/>
      <c r="R1" s="418"/>
      <c r="S1" s="418"/>
      <c r="T1" s="418"/>
      <c r="U1" s="419" t="s">
        <v>833</v>
      </c>
    </row>
    <row r="2" spans="1:21" ht="47.25" customHeight="1">
      <c r="A2" s="420"/>
      <c r="B2" s="421"/>
      <c r="C2" s="422"/>
      <c r="D2" s="422"/>
      <c r="E2" s="422"/>
      <c r="F2" s="422"/>
      <c r="G2" s="422"/>
      <c r="H2" s="422"/>
      <c r="I2" s="423" t="s">
        <v>19</v>
      </c>
      <c r="J2" s="597">
        <v>43024</v>
      </c>
      <c r="K2" s="597"/>
      <c r="L2" s="594"/>
      <c r="M2" s="596"/>
      <c r="N2" s="424"/>
      <c r="O2" s="421"/>
      <c r="P2" s="421"/>
      <c r="Q2" s="425"/>
      <c r="R2" s="426"/>
      <c r="S2" s="426"/>
      <c r="T2" s="426"/>
      <c r="U2" s="427"/>
    </row>
    <row r="3" spans="1:21" ht="47.25" customHeight="1">
      <c r="A3" s="598" t="s">
        <v>834</v>
      </c>
      <c r="B3" s="599"/>
      <c r="C3" s="599"/>
      <c r="D3" s="599"/>
      <c r="E3" s="599"/>
      <c r="F3" s="599"/>
      <c r="G3" s="599"/>
      <c r="H3" s="599"/>
      <c r="I3" s="423" t="s">
        <v>20</v>
      </c>
      <c r="J3" s="600" t="s">
        <v>835</v>
      </c>
      <c r="K3" s="601"/>
      <c r="L3" s="594"/>
      <c r="M3" s="596"/>
      <c r="N3" s="424"/>
      <c r="O3" s="421"/>
      <c r="P3" s="421"/>
      <c r="Q3" s="425"/>
      <c r="R3" s="426"/>
      <c r="S3" s="426"/>
      <c r="T3" s="426"/>
      <c r="U3" s="427"/>
    </row>
    <row r="4" spans="1:21" ht="47.25" customHeight="1">
      <c r="A4" s="428"/>
      <c r="B4" s="429"/>
      <c r="C4" s="430"/>
      <c r="D4" s="430"/>
      <c r="E4" s="430"/>
      <c r="F4" s="430"/>
      <c r="G4" s="430"/>
      <c r="H4" s="430"/>
      <c r="I4" s="431"/>
      <c r="J4" s="432"/>
      <c r="K4" s="433"/>
      <c r="L4" s="434"/>
      <c r="M4" s="435"/>
      <c r="N4" s="436"/>
      <c r="O4" s="437"/>
      <c r="P4" s="429"/>
      <c r="Q4" s="438"/>
      <c r="R4" s="439"/>
      <c r="S4" s="439"/>
      <c r="T4" s="439"/>
      <c r="U4" s="433"/>
    </row>
    <row r="5" spans="1:21" ht="15.75">
      <c r="A5" s="440"/>
      <c r="B5" s="441"/>
      <c r="C5" s="441"/>
      <c r="D5" s="441"/>
      <c r="E5" s="441"/>
      <c r="F5" s="441"/>
      <c r="G5" s="441"/>
      <c r="H5" s="441"/>
      <c r="I5" s="582" t="s">
        <v>22</v>
      </c>
      <c r="J5" s="584" t="s">
        <v>23</v>
      </c>
      <c r="K5" s="573" t="s">
        <v>24</v>
      </c>
      <c r="L5" s="585" t="s">
        <v>25</v>
      </c>
      <c r="M5" s="586" t="s">
        <v>836</v>
      </c>
      <c r="N5" s="588" t="s">
        <v>837</v>
      </c>
      <c r="O5" s="572" t="s">
        <v>26</v>
      </c>
      <c r="P5" s="575" t="s">
        <v>27</v>
      </c>
      <c r="Q5" s="578" t="s">
        <v>838</v>
      </c>
      <c r="R5" s="579" t="s">
        <v>13</v>
      </c>
      <c r="S5" s="579" t="s">
        <v>11</v>
      </c>
      <c r="T5" s="579" t="s">
        <v>9</v>
      </c>
      <c r="U5" s="566" t="s">
        <v>839</v>
      </c>
    </row>
    <row r="6" spans="1:21" ht="15.75">
      <c r="A6" s="440"/>
      <c r="B6" s="441"/>
      <c r="C6" s="441"/>
      <c r="D6" s="441"/>
      <c r="E6" s="441"/>
      <c r="F6" s="441"/>
      <c r="G6" s="441"/>
      <c r="H6" s="441"/>
      <c r="I6" s="583"/>
      <c r="J6" s="578"/>
      <c r="K6" s="573"/>
      <c r="L6" s="585"/>
      <c r="M6" s="587"/>
      <c r="N6" s="589"/>
      <c r="O6" s="573"/>
      <c r="P6" s="576"/>
      <c r="Q6" s="578"/>
      <c r="R6" s="580"/>
      <c r="S6" s="580"/>
      <c r="T6" s="580"/>
      <c r="U6" s="567"/>
    </row>
    <row r="7" spans="1:21" ht="63">
      <c r="A7" s="442" t="s">
        <v>840</v>
      </c>
      <c r="B7" s="443" t="s">
        <v>841</v>
      </c>
      <c r="C7" s="443" t="s">
        <v>842</v>
      </c>
      <c r="D7" s="443" t="s">
        <v>843</v>
      </c>
      <c r="E7" s="443" t="s">
        <v>844</v>
      </c>
      <c r="F7" s="443" t="s">
        <v>845</v>
      </c>
      <c r="G7" s="443" t="s">
        <v>846</v>
      </c>
      <c r="H7" s="443" t="s">
        <v>847</v>
      </c>
      <c r="I7" s="583"/>
      <c r="J7" s="578"/>
      <c r="K7" s="574"/>
      <c r="L7" s="585"/>
      <c r="M7" s="587"/>
      <c r="N7" s="590"/>
      <c r="O7" s="574"/>
      <c r="P7" s="577"/>
      <c r="Q7" s="578"/>
      <c r="R7" s="581"/>
      <c r="S7" s="581"/>
      <c r="T7" s="581"/>
      <c r="U7" s="568"/>
    </row>
    <row r="8" spans="1:21" ht="45">
      <c r="A8" s="444" t="s">
        <v>848</v>
      </c>
      <c r="B8" s="445"/>
      <c r="C8" s="446"/>
      <c r="D8" s="446"/>
      <c r="E8" s="446"/>
      <c r="F8" s="446"/>
      <c r="G8" s="446"/>
      <c r="H8" s="446"/>
      <c r="I8" s="447" t="s">
        <v>849</v>
      </c>
      <c r="J8" s="448" t="s">
        <v>850</v>
      </c>
      <c r="K8" s="449" t="s">
        <v>851</v>
      </c>
      <c r="L8" s="450" t="s">
        <v>852</v>
      </c>
      <c r="M8" s="451">
        <v>1600000</v>
      </c>
      <c r="N8" s="452">
        <f t="shared" ref="N8:N117" si="0">M8</f>
        <v>1600000</v>
      </c>
      <c r="O8" s="453" t="s">
        <v>101</v>
      </c>
      <c r="P8" s="454">
        <v>0</v>
      </c>
      <c r="Q8" s="455">
        <v>0</v>
      </c>
      <c r="R8" s="386">
        <v>0</v>
      </c>
      <c r="S8" s="386">
        <v>0</v>
      </c>
      <c r="T8" s="386">
        <f>N8</f>
        <v>1600000</v>
      </c>
      <c r="U8" s="456"/>
    </row>
    <row r="9" spans="1:21" ht="45">
      <c r="A9" s="444" t="s">
        <v>853</v>
      </c>
      <c r="B9" s="445"/>
      <c r="C9" s="446"/>
      <c r="D9" s="446"/>
      <c r="E9" s="446"/>
      <c r="F9" s="446"/>
      <c r="G9" s="446"/>
      <c r="H9" s="446"/>
      <c r="I9" s="447" t="s">
        <v>854</v>
      </c>
      <c r="J9" s="448" t="s">
        <v>855</v>
      </c>
      <c r="K9" s="449" t="s">
        <v>851</v>
      </c>
      <c r="L9" s="450" t="s">
        <v>852</v>
      </c>
      <c r="M9" s="451">
        <v>660000</v>
      </c>
      <c r="N9" s="452">
        <f t="shared" si="0"/>
        <v>660000</v>
      </c>
      <c r="O9" s="453" t="s">
        <v>101</v>
      </c>
      <c r="P9" s="454">
        <v>0</v>
      </c>
      <c r="Q9" s="455">
        <v>0</v>
      </c>
      <c r="R9" s="386">
        <v>0</v>
      </c>
      <c r="S9" s="386">
        <v>0</v>
      </c>
      <c r="T9" s="386">
        <f t="shared" ref="T9:T72" si="1">N9-R9-S9</f>
        <v>660000</v>
      </c>
      <c r="U9" s="456"/>
    </row>
    <row r="10" spans="1:21" ht="45">
      <c r="A10" s="444" t="s">
        <v>856</v>
      </c>
      <c r="B10" s="445"/>
      <c r="C10" s="446"/>
      <c r="D10" s="446"/>
      <c r="E10" s="446"/>
      <c r="F10" s="446"/>
      <c r="G10" s="446"/>
      <c r="H10" s="446"/>
      <c r="I10" s="447" t="s">
        <v>857</v>
      </c>
      <c r="J10" s="448" t="s">
        <v>858</v>
      </c>
      <c r="K10" s="449" t="s">
        <v>851</v>
      </c>
      <c r="L10" s="450" t="s">
        <v>852</v>
      </c>
      <c r="M10" s="451">
        <v>360000</v>
      </c>
      <c r="N10" s="452">
        <f t="shared" si="0"/>
        <v>360000</v>
      </c>
      <c r="O10" s="453" t="s">
        <v>101</v>
      </c>
      <c r="P10" s="454">
        <v>0</v>
      </c>
      <c r="Q10" s="455">
        <v>0</v>
      </c>
      <c r="R10" s="386">
        <v>0</v>
      </c>
      <c r="S10" s="386">
        <v>0</v>
      </c>
      <c r="T10" s="386">
        <f t="shared" si="1"/>
        <v>360000</v>
      </c>
      <c r="U10" s="456"/>
    </row>
    <row r="11" spans="1:21" ht="105">
      <c r="A11" s="444" t="s">
        <v>859</v>
      </c>
      <c r="B11" s="445"/>
      <c r="C11" s="446"/>
      <c r="D11" s="446"/>
      <c r="E11" s="446"/>
      <c r="F11" s="446"/>
      <c r="G11" s="446"/>
      <c r="H11" s="446"/>
      <c r="I11" s="447" t="s">
        <v>860</v>
      </c>
      <c r="J11" s="448" t="s">
        <v>861</v>
      </c>
      <c r="K11" s="449" t="s">
        <v>862</v>
      </c>
      <c r="L11" s="450" t="s">
        <v>852</v>
      </c>
      <c r="M11" s="451">
        <v>450000</v>
      </c>
      <c r="N11" s="452">
        <f t="shared" si="0"/>
        <v>450000</v>
      </c>
      <c r="O11" s="453" t="s">
        <v>101</v>
      </c>
      <c r="P11" s="454">
        <v>0</v>
      </c>
      <c r="Q11" s="455">
        <v>0</v>
      </c>
      <c r="R11" s="386">
        <v>0</v>
      </c>
      <c r="S11" s="386">
        <v>0</v>
      </c>
      <c r="T11" s="386">
        <f t="shared" si="1"/>
        <v>450000</v>
      </c>
      <c r="U11" s="456"/>
    </row>
    <row r="12" spans="1:21" ht="105">
      <c r="A12" s="444" t="s">
        <v>863</v>
      </c>
      <c r="B12" s="445"/>
      <c r="C12" s="446"/>
      <c r="D12" s="446"/>
      <c r="E12" s="446"/>
      <c r="F12" s="446"/>
      <c r="G12" s="446"/>
      <c r="H12" s="446"/>
      <c r="I12" s="447" t="s">
        <v>864</v>
      </c>
      <c r="J12" s="448" t="s">
        <v>861</v>
      </c>
      <c r="K12" s="449" t="s">
        <v>862</v>
      </c>
      <c r="L12" s="450" t="s">
        <v>852</v>
      </c>
      <c r="M12" s="451">
        <v>350000</v>
      </c>
      <c r="N12" s="452">
        <f t="shared" si="0"/>
        <v>350000</v>
      </c>
      <c r="O12" s="453" t="s">
        <v>101</v>
      </c>
      <c r="P12" s="454">
        <v>0</v>
      </c>
      <c r="Q12" s="455">
        <v>0</v>
      </c>
      <c r="R12" s="386">
        <v>0</v>
      </c>
      <c r="S12" s="386">
        <v>0</v>
      </c>
      <c r="T12" s="386">
        <f t="shared" si="1"/>
        <v>350000</v>
      </c>
      <c r="U12" s="456"/>
    </row>
    <row r="13" spans="1:21" ht="60">
      <c r="A13" s="444" t="s">
        <v>865</v>
      </c>
      <c r="B13" s="445"/>
      <c r="C13" s="446"/>
      <c r="D13" s="446"/>
      <c r="E13" s="446"/>
      <c r="F13" s="446"/>
      <c r="G13" s="446"/>
      <c r="H13" s="446"/>
      <c r="I13" s="447" t="s">
        <v>866</v>
      </c>
      <c r="J13" s="448" t="s">
        <v>867</v>
      </c>
      <c r="K13" s="449" t="s">
        <v>868</v>
      </c>
      <c r="L13" s="450" t="s">
        <v>852</v>
      </c>
      <c r="M13" s="451">
        <v>350000</v>
      </c>
      <c r="N13" s="452">
        <f t="shared" si="0"/>
        <v>350000</v>
      </c>
      <c r="O13" s="453" t="s">
        <v>101</v>
      </c>
      <c r="P13" s="454">
        <v>0</v>
      </c>
      <c r="Q13" s="455">
        <v>0</v>
      </c>
      <c r="R13" s="386">
        <v>0</v>
      </c>
      <c r="S13" s="386">
        <v>0</v>
      </c>
      <c r="T13" s="386">
        <f t="shared" si="1"/>
        <v>350000</v>
      </c>
      <c r="U13" s="456"/>
    </row>
    <row r="14" spans="1:21" ht="105">
      <c r="A14" s="444">
        <v>1</v>
      </c>
      <c r="B14" s="445"/>
      <c r="C14" s="446"/>
      <c r="D14" s="446"/>
      <c r="E14" s="446"/>
      <c r="F14" s="446"/>
      <c r="G14" s="446"/>
      <c r="H14" s="446"/>
      <c r="I14" s="447" t="s">
        <v>869</v>
      </c>
      <c r="J14" s="448" t="s">
        <v>870</v>
      </c>
      <c r="K14" s="449" t="s">
        <v>862</v>
      </c>
      <c r="L14" s="450" t="s">
        <v>852</v>
      </c>
      <c r="M14" s="451">
        <v>200000</v>
      </c>
      <c r="N14" s="452">
        <f t="shared" si="0"/>
        <v>200000</v>
      </c>
      <c r="O14" s="453" t="s">
        <v>101</v>
      </c>
      <c r="P14" s="454">
        <v>0</v>
      </c>
      <c r="Q14" s="455">
        <v>0</v>
      </c>
      <c r="R14" s="386">
        <v>0</v>
      </c>
      <c r="S14" s="386">
        <v>0</v>
      </c>
      <c r="T14" s="386">
        <f t="shared" si="1"/>
        <v>200000</v>
      </c>
      <c r="U14" s="456"/>
    </row>
    <row r="15" spans="1:21" ht="105">
      <c r="A15" s="444">
        <f>A14+1</f>
        <v>2</v>
      </c>
      <c r="B15" s="445"/>
      <c r="C15" s="446"/>
      <c r="D15" s="446"/>
      <c r="E15" s="446"/>
      <c r="F15" s="446"/>
      <c r="G15" s="446"/>
      <c r="H15" s="446"/>
      <c r="I15" s="447" t="s">
        <v>871</v>
      </c>
      <c r="J15" s="448" t="s">
        <v>872</v>
      </c>
      <c r="K15" s="449" t="s">
        <v>862</v>
      </c>
      <c r="L15" s="450" t="s">
        <v>852</v>
      </c>
      <c r="M15" s="451">
        <v>200000</v>
      </c>
      <c r="N15" s="452">
        <f>M15</f>
        <v>200000</v>
      </c>
      <c r="O15" s="453" t="s">
        <v>101</v>
      </c>
      <c r="P15" s="454">
        <v>0</v>
      </c>
      <c r="Q15" s="455">
        <v>0</v>
      </c>
      <c r="R15" s="386">
        <v>0</v>
      </c>
      <c r="S15" s="386">
        <v>0</v>
      </c>
      <c r="T15" s="386">
        <f t="shared" si="1"/>
        <v>200000</v>
      </c>
      <c r="U15" s="456"/>
    </row>
    <row r="16" spans="1:21" ht="45">
      <c r="A16" s="444">
        <f t="shared" ref="A16:A79" si="2">A15+1</f>
        <v>3</v>
      </c>
      <c r="B16" s="445"/>
      <c r="C16" s="446"/>
      <c r="D16" s="446"/>
      <c r="E16" s="446"/>
      <c r="F16" s="446"/>
      <c r="G16" s="446"/>
      <c r="H16" s="446"/>
      <c r="I16" s="447" t="s">
        <v>873</v>
      </c>
      <c r="J16" s="448" t="s">
        <v>874</v>
      </c>
      <c r="K16" s="449" t="s">
        <v>868</v>
      </c>
      <c r="L16" s="450" t="s">
        <v>852</v>
      </c>
      <c r="M16" s="451">
        <v>360000</v>
      </c>
      <c r="N16" s="452">
        <f t="shared" si="0"/>
        <v>360000</v>
      </c>
      <c r="O16" s="453" t="s">
        <v>101</v>
      </c>
      <c r="P16" s="454">
        <v>0</v>
      </c>
      <c r="Q16" s="455">
        <v>0</v>
      </c>
      <c r="R16" s="386">
        <v>0</v>
      </c>
      <c r="S16" s="386">
        <v>0</v>
      </c>
      <c r="T16" s="386">
        <f t="shared" si="1"/>
        <v>360000</v>
      </c>
      <c r="U16" s="456"/>
    </row>
    <row r="17" spans="1:21" ht="45">
      <c r="A17" s="444">
        <f t="shared" si="2"/>
        <v>4</v>
      </c>
      <c r="B17" s="445"/>
      <c r="C17" s="446"/>
      <c r="D17" s="446"/>
      <c r="E17" s="446"/>
      <c r="F17" s="446"/>
      <c r="G17" s="446"/>
      <c r="H17" s="446"/>
      <c r="I17" s="447" t="s">
        <v>875</v>
      </c>
      <c r="J17" s="448" t="s">
        <v>874</v>
      </c>
      <c r="K17" s="449" t="s">
        <v>868</v>
      </c>
      <c r="L17" s="450" t="s">
        <v>852</v>
      </c>
      <c r="M17" s="451">
        <v>240000</v>
      </c>
      <c r="N17" s="452">
        <f>M17</f>
        <v>240000</v>
      </c>
      <c r="O17" s="453" t="s">
        <v>101</v>
      </c>
      <c r="P17" s="454">
        <v>0</v>
      </c>
      <c r="Q17" s="455">
        <v>0</v>
      </c>
      <c r="R17" s="386">
        <v>0</v>
      </c>
      <c r="S17" s="386">
        <v>0</v>
      </c>
      <c r="T17" s="386">
        <f t="shared" si="1"/>
        <v>240000</v>
      </c>
      <c r="U17" s="456"/>
    </row>
    <row r="18" spans="1:21" ht="45">
      <c r="A18" s="444">
        <f t="shared" si="2"/>
        <v>5</v>
      </c>
      <c r="B18" s="445"/>
      <c r="C18" s="446"/>
      <c r="D18" s="446"/>
      <c r="E18" s="446"/>
      <c r="F18" s="446"/>
      <c r="G18" s="446"/>
      <c r="H18" s="446"/>
      <c r="I18" s="447" t="s">
        <v>876</v>
      </c>
      <c r="J18" s="448" t="s">
        <v>874</v>
      </c>
      <c r="K18" s="449" t="s">
        <v>868</v>
      </c>
      <c r="L18" s="450" t="s">
        <v>852</v>
      </c>
      <c r="M18" s="451">
        <v>120000</v>
      </c>
      <c r="N18" s="452">
        <f>M18</f>
        <v>120000</v>
      </c>
      <c r="O18" s="453" t="s">
        <v>101</v>
      </c>
      <c r="P18" s="454">
        <v>0</v>
      </c>
      <c r="Q18" s="455">
        <v>0</v>
      </c>
      <c r="R18" s="386">
        <v>0</v>
      </c>
      <c r="S18" s="386">
        <v>0</v>
      </c>
      <c r="T18" s="386">
        <f t="shared" si="1"/>
        <v>120000</v>
      </c>
      <c r="U18" s="456"/>
    </row>
    <row r="19" spans="1:21" ht="105">
      <c r="A19" s="444">
        <f t="shared" si="2"/>
        <v>6</v>
      </c>
      <c r="B19" s="445"/>
      <c r="C19" s="446"/>
      <c r="D19" s="446"/>
      <c r="E19" s="446"/>
      <c r="F19" s="446"/>
      <c r="G19" s="446"/>
      <c r="H19" s="446"/>
      <c r="I19" s="447" t="s">
        <v>877</v>
      </c>
      <c r="J19" s="448" t="s">
        <v>878</v>
      </c>
      <c r="K19" s="449" t="s">
        <v>862</v>
      </c>
      <c r="L19" s="450" t="s">
        <v>852</v>
      </c>
      <c r="M19" s="451">
        <v>116667</v>
      </c>
      <c r="N19" s="452">
        <f t="shared" si="0"/>
        <v>116667</v>
      </c>
      <c r="O19" s="453" t="s">
        <v>101</v>
      </c>
      <c r="P19" s="454">
        <v>0</v>
      </c>
      <c r="Q19" s="455">
        <v>0</v>
      </c>
      <c r="R19" s="386">
        <v>0</v>
      </c>
      <c r="S19" s="386">
        <v>0</v>
      </c>
      <c r="T19" s="386">
        <f t="shared" si="1"/>
        <v>116667</v>
      </c>
      <c r="U19" s="456"/>
    </row>
    <row r="20" spans="1:21" ht="120">
      <c r="A20" s="444">
        <f t="shared" si="2"/>
        <v>7</v>
      </c>
      <c r="B20" s="445"/>
      <c r="C20" s="446"/>
      <c r="D20" s="446"/>
      <c r="E20" s="446"/>
      <c r="F20" s="446"/>
      <c r="G20" s="446"/>
      <c r="H20" s="446"/>
      <c r="I20" s="447" t="s">
        <v>879</v>
      </c>
      <c r="J20" s="448" t="s">
        <v>880</v>
      </c>
      <c r="K20" s="449" t="s">
        <v>862</v>
      </c>
      <c r="L20" s="450" t="s">
        <v>852</v>
      </c>
      <c r="M20" s="451">
        <v>116667</v>
      </c>
      <c r="N20" s="452">
        <f>M20</f>
        <v>116667</v>
      </c>
      <c r="O20" s="453" t="s">
        <v>101</v>
      </c>
      <c r="P20" s="454">
        <v>0</v>
      </c>
      <c r="Q20" s="455">
        <v>0</v>
      </c>
      <c r="R20" s="386">
        <v>0</v>
      </c>
      <c r="S20" s="386">
        <v>0</v>
      </c>
      <c r="T20" s="386">
        <f t="shared" si="1"/>
        <v>116667</v>
      </c>
      <c r="U20" s="456"/>
    </row>
    <row r="21" spans="1:21" ht="120">
      <c r="A21" s="444">
        <f t="shared" si="2"/>
        <v>8</v>
      </c>
      <c r="B21" s="445"/>
      <c r="C21" s="446"/>
      <c r="D21" s="446"/>
      <c r="E21" s="446"/>
      <c r="F21" s="446"/>
      <c r="G21" s="446"/>
      <c r="H21" s="446"/>
      <c r="I21" s="447" t="s">
        <v>881</v>
      </c>
      <c r="J21" s="448" t="s">
        <v>882</v>
      </c>
      <c r="K21" s="449" t="s">
        <v>862</v>
      </c>
      <c r="L21" s="450" t="s">
        <v>852</v>
      </c>
      <c r="M21" s="451">
        <v>116667</v>
      </c>
      <c r="N21" s="452">
        <f>M21</f>
        <v>116667</v>
      </c>
      <c r="O21" s="453" t="s">
        <v>101</v>
      </c>
      <c r="P21" s="454">
        <v>0</v>
      </c>
      <c r="Q21" s="455">
        <v>0</v>
      </c>
      <c r="R21" s="386">
        <v>0</v>
      </c>
      <c r="S21" s="386">
        <v>0</v>
      </c>
      <c r="T21" s="386">
        <f t="shared" si="1"/>
        <v>116667</v>
      </c>
      <c r="U21" s="456"/>
    </row>
    <row r="22" spans="1:21" ht="105">
      <c r="A22" s="444">
        <f t="shared" si="2"/>
        <v>9</v>
      </c>
      <c r="B22" s="445"/>
      <c r="C22" s="446"/>
      <c r="D22" s="446"/>
      <c r="E22" s="446"/>
      <c r="F22" s="446"/>
      <c r="G22" s="446"/>
      <c r="H22" s="446"/>
      <c r="I22" s="447" t="s">
        <v>883</v>
      </c>
      <c r="J22" s="448" t="s">
        <v>884</v>
      </c>
      <c r="K22" s="449" t="s">
        <v>862</v>
      </c>
      <c r="L22" s="450" t="s">
        <v>852</v>
      </c>
      <c r="M22" s="451">
        <v>116667</v>
      </c>
      <c r="N22" s="452">
        <f>M22</f>
        <v>116667</v>
      </c>
      <c r="O22" s="453" t="s">
        <v>101</v>
      </c>
      <c r="P22" s="454">
        <v>0</v>
      </c>
      <c r="Q22" s="455">
        <v>0</v>
      </c>
      <c r="R22" s="386">
        <v>0</v>
      </c>
      <c r="S22" s="386">
        <v>0</v>
      </c>
      <c r="T22" s="386">
        <f t="shared" si="1"/>
        <v>116667</v>
      </c>
      <c r="U22" s="456"/>
    </row>
    <row r="23" spans="1:21" ht="105">
      <c r="A23" s="444">
        <f t="shared" si="2"/>
        <v>10</v>
      </c>
      <c r="B23" s="445"/>
      <c r="C23" s="446"/>
      <c r="D23" s="446"/>
      <c r="E23" s="446"/>
      <c r="F23" s="446"/>
      <c r="G23" s="446"/>
      <c r="H23" s="446"/>
      <c r="I23" s="447" t="s">
        <v>885</v>
      </c>
      <c r="J23" s="448" t="s">
        <v>886</v>
      </c>
      <c r="K23" s="449" t="s">
        <v>862</v>
      </c>
      <c r="L23" s="450" t="s">
        <v>852</v>
      </c>
      <c r="M23" s="451">
        <v>116667</v>
      </c>
      <c r="N23" s="452">
        <f>M23</f>
        <v>116667</v>
      </c>
      <c r="O23" s="453" t="s">
        <v>101</v>
      </c>
      <c r="P23" s="454">
        <v>0</v>
      </c>
      <c r="Q23" s="455">
        <v>0</v>
      </c>
      <c r="R23" s="386">
        <v>0</v>
      </c>
      <c r="S23" s="386">
        <v>0</v>
      </c>
      <c r="T23" s="386">
        <f t="shared" si="1"/>
        <v>116667</v>
      </c>
      <c r="U23" s="456"/>
    </row>
    <row r="24" spans="1:21" ht="105">
      <c r="A24" s="444">
        <f t="shared" si="2"/>
        <v>11</v>
      </c>
      <c r="B24" s="445"/>
      <c r="C24" s="446"/>
      <c r="D24" s="446"/>
      <c r="E24" s="446"/>
      <c r="F24" s="446"/>
      <c r="G24" s="446"/>
      <c r="H24" s="446"/>
      <c r="I24" s="447" t="s">
        <v>887</v>
      </c>
      <c r="J24" s="448" t="s">
        <v>888</v>
      </c>
      <c r="K24" s="449" t="s">
        <v>862</v>
      </c>
      <c r="L24" s="450" t="s">
        <v>852</v>
      </c>
      <c r="M24" s="451">
        <v>116667</v>
      </c>
      <c r="N24" s="452">
        <f>M24</f>
        <v>116667</v>
      </c>
      <c r="O24" s="453" t="s">
        <v>101</v>
      </c>
      <c r="P24" s="454">
        <v>0</v>
      </c>
      <c r="Q24" s="455">
        <v>0</v>
      </c>
      <c r="R24" s="386">
        <v>0</v>
      </c>
      <c r="S24" s="386">
        <v>0</v>
      </c>
      <c r="T24" s="386">
        <f t="shared" si="1"/>
        <v>116667</v>
      </c>
      <c r="U24" s="456"/>
    </row>
    <row r="25" spans="1:21" ht="105">
      <c r="A25" s="444">
        <f t="shared" si="2"/>
        <v>12</v>
      </c>
      <c r="B25" s="445"/>
      <c r="C25" s="446"/>
      <c r="D25" s="446"/>
      <c r="E25" s="446"/>
      <c r="F25" s="446"/>
      <c r="G25" s="446"/>
      <c r="H25" s="446"/>
      <c r="I25" s="447" t="s">
        <v>889</v>
      </c>
      <c r="J25" s="448" t="s">
        <v>890</v>
      </c>
      <c r="K25" s="449" t="s">
        <v>862</v>
      </c>
      <c r="L25" s="450" t="s">
        <v>852</v>
      </c>
      <c r="M25" s="451">
        <v>107520</v>
      </c>
      <c r="N25" s="452">
        <f t="shared" si="0"/>
        <v>107520</v>
      </c>
      <c r="O25" s="453" t="s">
        <v>101</v>
      </c>
      <c r="P25" s="454">
        <v>0</v>
      </c>
      <c r="Q25" s="455">
        <v>0</v>
      </c>
      <c r="R25" s="386">
        <v>0</v>
      </c>
      <c r="S25" s="386">
        <v>0</v>
      </c>
      <c r="T25" s="386">
        <f t="shared" si="1"/>
        <v>107520</v>
      </c>
      <c r="U25" s="456"/>
    </row>
    <row r="26" spans="1:21" ht="105">
      <c r="A26" s="444">
        <f t="shared" si="2"/>
        <v>13</v>
      </c>
      <c r="B26" s="445"/>
      <c r="C26" s="446"/>
      <c r="D26" s="446"/>
      <c r="E26" s="446"/>
      <c r="F26" s="446"/>
      <c r="G26" s="446"/>
      <c r="H26" s="446"/>
      <c r="I26" s="447" t="s">
        <v>891</v>
      </c>
      <c r="J26" s="448" t="s">
        <v>892</v>
      </c>
      <c r="K26" s="449" t="s">
        <v>862</v>
      </c>
      <c r="L26" s="450" t="s">
        <v>852</v>
      </c>
      <c r="M26" s="451">
        <v>107520</v>
      </c>
      <c r="N26" s="452">
        <f>M26</f>
        <v>107520</v>
      </c>
      <c r="O26" s="453" t="s">
        <v>101</v>
      </c>
      <c r="P26" s="454">
        <v>0</v>
      </c>
      <c r="Q26" s="455">
        <v>0</v>
      </c>
      <c r="R26" s="386">
        <v>0</v>
      </c>
      <c r="S26" s="386">
        <v>0</v>
      </c>
      <c r="T26" s="386">
        <f t="shared" si="1"/>
        <v>107520</v>
      </c>
      <c r="U26" s="456"/>
    </row>
    <row r="27" spans="1:21" ht="105">
      <c r="A27" s="444">
        <f t="shared" si="2"/>
        <v>14</v>
      </c>
      <c r="B27" s="445"/>
      <c r="C27" s="446"/>
      <c r="D27" s="446"/>
      <c r="E27" s="446"/>
      <c r="F27" s="446"/>
      <c r="G27" s="446"/>
      <c r="H27" s="446"/>
      <c r="I27" s="447" t="s">
        <v>893</v>
      </c>
      <c r="J27" s="448" t="s">
        <v>894</v>
      </c>
      <c r="K27" s="449" t="s">
        <v>862</v>
      </c>
      <c r="L27" s="450" t="s">
        <v>852</v>
      </c>
      <c r="M27" s="451">
        <v>107520</v>
      </c>
      <c r="N27" s="452">
        <f>M27</f>
        <v>107520</v>
      </c>
      <c r="O27" s="453" t="s">
        <v>101</v>
      </c>
      <c r="P27" s="454">
        <v>0</v>
      </c>
      <c r="Q27" s="455">
        <v>0</v>
      </c>
      <c r="R27" s="386">
        <v>0</v>
      </c>
      <c r="S27" s="386">
        <v>0</v>
      </c>
      <c r="T27" s="386">
        <f t="shared" si="1"/>
        <v>107520</v>
      </c>
      <c r="U27" s="456"/>
    </row>
    <row r="28" spans="1:21" ht="105">
      <c r="A28" s="444">
        <f t="shared" si="2"/>
        <v>15</v>
      </c>
      <c r="B28" s="445"/>
      <c r="C28" s="446"/>
      <c r="D28" s="446"/>
      <c r="E28" s="446"/>
      <c r="F28" s="446"/>
      <c r="G28" s="446"/>
      <c r="H28" s="446"/>
      <c r="I28" s="447" t="s">
        <v>895</v>
      </c>
      <c r="J28" s="448" t="s">
        <v>896</v>
      </c>
      <c r="K28" s="449" t="s">
        <v>862</v>
      </c>
      <c r="L28" s="450" t="s">
        <v>852</v>
      </c>
      <c r="M28" s="451">
        <v>107520</v>
      </c>
      <c r="N28" s="452">
        <f>M28</f>
        <v>107520</v>
      </c>
      <c r="O28" s="453" t="s">
        <v>101</v>
      </c>
      <c r="P28" s="454">
        <v>0</v>
      </c>
      <c r="Q28" s="455">
        <v>0</v>
      </c>
      <c r="R28" s="386">
        <v>0</v>
      </c>
      <c r="S28" s="386">
        <v>0</v>
      </c>
      <c r="T28" s="386">
        <f t="shared" si="1"/>
        <v>107520</v>
      </c>
      <c r="U28" s="456"/>
    </row>
    <row r="29" spans="1:21" ht="105">
      <c r="A29" s="444">
        <f t="shared" si="2"/>
        <v>16</v>
      </c>
      <c r="B29" s="445"/>
      <c r="C29" s="446"/>
      <c r="D29" s="446"/>
      <c r="E29" s="446"/>
      <c r="F29" s="446"/>
      <c r="G29" s="446"/>
      <c r="H29" s="446"/>
      <c r="I29" s="447" t="s">
        <v>897</v>
      </c>
      <c r="J29" s="448" t="s">
        <v>898</v>
      </c>
      <c r="K29" s="449" t="s">
        <v>862</v>
      </c>
      <c r="L29" s="450" t="s">
        <v>852</v>
      </c>
      <c r="M29" s="451">
        <v>107520</v>
      </c>
      <c r="N29" s="452">
        <f>M29</f>
        <v>107520</v>
      </c>
      <c r="O29" s="453" t="s">
        <v>101</v>
      </c>
      <c r="P29" s="454">
        <v>0</v>
      </c>
      <c r="Q29" s="455">
        <v>0</v>
      </c>
      <c r="R29" s="386">
        <v>0</v>
      </c>
      <c r="S29" s="386">
        <v>0</v>
      </c>
      <c r="T29" s="386">
        <f t="shared" si="1"/>
        <v>107520</v>
      </c>
      <c r="U29" s="456"/>
    </row>
    <row r="30" spans="1:21" ht="75">
      <c r="A30" s="444">
        <f t="shared" si="2"/>
        <v>17</v>
      </c>
      <c r="B30" s="445"/>
      <c r="C30" s="446"/>
      <c r="D30" s="446"/>
      <c r="E30" s="446"/>
      <c r="F30" s="446"/>
      <c r="G30" s="446"/>
      <c r="H30" s="446"/>
      <c r="I30" s="447" t="s">
        <v>899</v>
      </c>
      <c r="J30" s="448" t="s">
        <v>900</v>
      </c>
      <c r="K30" s="449" t="s">
        <v>901</v>
      </c>
      <c r="L30" s="450" t="s">
        <v>852</v>
      </c>
      <c r="M30" s="451">
        <v>180000</v>
      </c>
      <c r="N30" s="452">
        <f t="shared" si="0"/>
        <v>180000</v>
      </c>
      <c r="O30" s="453" t="s">
        <v>101</v>
      </c>
      <c r="P30" s="454">
        <v>0</v>
      </c>
      <c r="Q30" s="455">
        <v>0</v>
      </c>
      <c r="R30" s="386">
        <v>0</v>
      </c>
      <c r="S30" s="386">
        <v>0</v>
      </c>
      <c r="T30" s="386">
        <f t="shared" si="1"/>
        <v>180000</v>
      </c>
      <c r="U30" s="456"/>
    </row>
    <row r="31" spans="1:21" ht="105">
      <c r="A31" s="444">
        <f t="shared" si="2"/>
        <v>18</v>
      </c>
      <c r="B31" s="445"/>
      <c r="C31" s="446"/>
      <c r="D31" s="446"/>
      <c r="E31" s="446"/>
      <c r="F31" s="446"/>
      <c r="G31" s="446"/>
      <c r="H31" s="446"/>
      <c r="I31" s="447" t="s">
        <v>902</v>
      </c>
      <c r="J31" s="448" t="s">
        <v>903</v>
      </c>
      <c r="K31" s="449" t="s">
        <v>862</v>
      </c>
      <c r="L31" s="450" t="s">
        <v>852</v>
      </c>
      <c r="M31" s="451">
        <v>134400</v>
      </c>
      <c r="N31" s="452">
        <f t="shared" si="0"/>
        <v>134400</v>
      </c>
      <c r="O31" s="453" t="s">
        <v>101</v>
      </c>
      <c r="P31" s="454">
        <v>0</v>
      </c>
      <c r="Q31" s="455">
        <v>0</v>
      </c>
      <c r="R31" s="386">
        <v>0</v>
      </c>
      <c r="S31" s="386">
        <v>0</v>
      </c>
      <c r="T31" s="386">
        <f t="shared" si="1"/>
        <v>134400</v>
      </c>
      <c r="U31" s="456"/>
    </row>
    <row r="32" spans="1:21" ht="120">
      <c r="A32" s="444">
        <f t="shared" si="2"/>
        <v>19</v>
      </c>
      <c r="B32" s="445"/>
      <c r="C32" s="446"/>
      <c r="D32" s="446"/>
      <c r="E32" s="446"/>
      <c r="F32" s="446"/>
      <c r="G32" s="446"/>
      <c r="H32" s="446"/>
      <c r="I32" s="447" t="s">
        <v>904</v>
      </c>
      <c r="J32" s="448" t="s">
        <v>905</v>
      </c>
      <c r="K32" s="449" t="s">
        <v>862</v>
      </c>
      <c r="L32" s="450" t="s">
        <v>852</v>
      </c>
      <c r="M32" s="451">
        <v>134400</v>
      </c>
      <c r="N32" s="452">
        <f t="shared" si="0"/>
        <v>134400</v>
      </c>
      <c r="O32" s="453" t="s">
        <v>101</v>
      </c>
      <c r="P32" s="454">
        <v>0</v>
      </c>
      <c r="Q32" s="455">
        <v>0</v>
      </c>
      <c r="R32" s="386">
        <v>0</v>
      </c>
      <c r="S32" s="386">
        <v>0</v>
      </c>
      <c r="T32" s="386">
        <f t="shared" si="1"/>
        <v>134400</v>
      </c>
      <c r="U32" s="456"/>
    </row>
    <row r="33" spans="1:21" ht="120">
      <c r="A33" s="444">
        <f t="shared" si="2"/>
        <v>20</v>
      </c>
      <c r="B33" s="445"/>
      <c r="C33" s="446"/>
      <c r="D33" s="446"/>
      <c r="E33" s="446"/>
      <c r="F33" s="446"/>
      <c r="G33" s="446"/>
      <c r="H33" s="446"/>
      <c r="I33" s="447" t="s">
        <v>906</v>
      </c>
      <c r="J33" s="448" t="s">
        <v>907</v>
      </c>
      <c r="K33" s="449" t="s">
        <v>862</v>
      </c>
      <c r="L33" s="450" t="s">
        <v>852</v>
      </c>
      <c r="M33" s="451">
        <v>134400</v>
      </c>
      <c r="N33" s="452">
        <f t="shared" si="0"/>
        <v>134400</v>
      </c>
      <c r="O33" s="453" t="s">
        <v>101</v>
      </c>
      <c r="P33" s="454">
        <v>0</v>
      </c>
      <c r="Q33" s="455">
        <v>0</v>
      </c>
      <c r="R33" s="386">
        <v>0</v>
      </c>
      <c r="S33" s="386">
        <v>0</v>
      </c>
      <c r="T33" s="386">
        <f t="shared" si="1"/>
        <v>134400</v>
      </c>
      <c r="U33" s="456"/>
    </row>
    <row r="34" spans="1:21" ht="120">
      <c r="A34" s="444">
        <f t="shared" si="2"/>
        <v>21</v>
      </c>
      <c r="B34" s="445"/>
      <c r="C34" s="446"/>
      <c r="D34" s="446"/>
      <c r="E34" s="446"/>
      <c r="F34" s="446"/>
      <c r="G34" s="446"/>
      <c r="H34" s="446"/>
      <c r="I34" s="447" t="s">
        <v>908</v>
      </c>
      <c r="J34" s="448" t="s">
        <v>909</v>
      </c>
      <c r="K34" s="449" t="s">
        <v>862</v>
      </c>
      <c r="L34" s="450" t="s">
        <v>852</v>
      </c>
      <c r="M34" s="451">
        <v>134400</v>
      </c>
      <c r="N34" s="452">
        <f t="shared" si="0"/>
        <v>134400</v>
      </c>
      <c r="O34" s="453" t="s">
        <v>101</v>
      </c>
      <c r="P34" s="454">
        <v>0</v>
      </c>
      <c r="Q34" s="455">
        <v>0</v>
      </c>
      <c r="R34" s="386">
        <v>0</v>
      </c>
      <c r="S34" s="386">
        <v>0</v>
      </c>
      <c r="T34" s="386">
        <f t="shared" si="1"/>
        <v>134400</v>
      </c>
      <c r="U34" s="456"/>
    </row>
    <row r="35" spans="1:21" ht="105">
      <c r="A35" s="444">
        <f t="shared" si="2"/>
        <v>22</v>
      </c>
      <c r="B35" s="445"/>
      <c r="C35" s="446"/>
      <c r="D35" s="446"/>
      <c r="E35" s="446"/>
      <c r="F35" s="446"/>
      <c r="G35" s="446"/>
      <c r="H35" s="446"/>
      <c r="I35" s="447" t="s">
        <v>910</v>
      </c>
      <c r="J35" s="448" t="s">
        <v>911</v>
      </c>
      <c r="K35" s="449" t="s">
        <v>862</v>
      </c>
      <c r="L35" s="450" t="s">
        <v>852</v>
      </c>
      <c r="M35" s="451">
        <v>134400</v>
      </c>
      <c r="N35" s="452">
        <f t="shared" si="0"/>
        <v>134400</v>
      </c>
      <c r="O35" s="453" t="s">
        <v>101</v>
      </c>
      <c r="P35" s="454">
        <v>0</v>
      </c>
      <c r="Q35" s="455">
        <v>0</v>
      </c>
      <c r="R35" s="386">
        <v>0</v>
      </c>
      <c r="S35" s="386">
        <v>0</v>
      </c>
      <c r="T35" s="386">
        <f t="shared" si="1"/>
        <v>134400</v>
      </c>
      <c r="U35" s="456"/>
    </row>
    <row r="36" spans="1:21" ht="105">
      <c r="A36" s="444">
        <f t="shared" si="2"/>
        <v>23</v>
      </c>
      <c r="B36" s="445"/>
      <c r="C36" s="446"/>
      <c r="D36" s="446"/>
      <c r="E36" s="446"/>
      <c r="F36" s="446"/>
      <c r="G36" s="446"/>
      <c r="H36" s="446"/>
      <c r="I36" s="447" t="s">
        <v>912</v>
      </c>
      <c r="J36" s="448" t="s">
        <v>913</v>
      </c>
      <c r="K36" s="449" t="s">
        <v>862</v>
      </c>
      <c r="L36" s="450" t="s">
        <v>852</v>
      </c>
      <c r="M36" s="451">
        <v>134400</v>
      </c>
      <c r="N36" s="452">
        <f t="shared" si="0"/>
        <v>134400</v>
      </c>
      <c r="O36" s="453" t="s">
        <v>101</v>
      </c>
      <c r="P36" s="454">
        <v>0</v>
      </c>
      <c r="Q36" s="455">
        <v>0</v>
      </c>
      <c r="R36" s="386">
        <v>0</v>
      </c>
      <c r="S36" s="386">
        <v>0</v>
      </c>
      <c r="T36" s="386">
        <f t="shared" si="1"/>
        <v>134400</v>
      </c>
      <c r="U36" s="456"/>
    </row>
    <row r="37" spans="1:21" ht="105">
      <c r="A37" s="444">
        <f t="shared" si="2"/>
        <v>24</v>
      </c>
      <c r="B37" s="445"/>
      <c r="C37" s="446"/>
      <c r="D37" s="446"/>
      <c r="E37" s="446"/>
      <c r="F37" s="446"/>
      <c r="G37" s="446"/>
      <c r="H37" s="446"/>
      <c r="I37" s="447" t="s">
        <v>914</v>
      </c>
      <c r="J37" s="448" t="s">
        <v>915</v>
      </c>
      <c r="K37" s="449" t="s">
        <v>862</v>
      </c>
      <c r="L37" s="450" t="s">
        <v>852</v>
      </c>
      <c r="M37" s="451">
        <v>134400</v>
      </c>
      <c r="N37" s="452">
        <f t="shared" si="0"/>
        <v>134400</v>
      </c>
      <c r="O37" s="453" t="s">
        <v>101</v>
      </c>
      <c r="P37" s="454">
        <v>0</v>
      </c>
      <c r="Q37" s="455">
        <v>0</v>
      </c>
      <c r="R37" s="386">
        <v>0</v>
      </c>
      <c r="S37" s="386">
        <v>0</v>
      </c>
      <c r="T37" s="386">
        <f t="shared" si="1"/>
        <v>134400</v>
      </c>
      <c r="U37" s="456"/>
    </row>
    <row r="38" spans="1:21" ht="105">
      <c r="A38" s="444">
        <f t="shared" si="2"/>
        <v>25</v>
      </c>
      <c r="B38" s="445"/>
      <c r="C38" s="446"/>
      <c r="D38" s="446"/>
      <c r="E38" s="446"/>
      <c r="F38" s="446"/>
      <c r="G38" s="446"/>
      <c r="H38" s="446"/>
      <c r="I38" s="447" t="s">
        <v>916</v>
      </c>
      <c r="J38" s="448" t="s">
        <v>917</v>
      </c>
      <c r="K38" s="449" t="s">
        <v>862</v>
      </c>
      <c r="L38" s="450" t="s">
        <v>852</v>
      </c>
      <c r="M38" s="451">
        <v>138240</v>
      </c>
      <c r="N38" s="452">
        <f t="shared" si="0"/>
        <v>138240</v>
      </c>
      <c r="O38" s="453" t="s">
        <v>101</v>
      </c>
      <c r="P38" s="454">
        <v>0</v>
      </c>
      <c r="Q38" s="455">
        <v>0</v>
      </c>
      <c r="R38" s="386">
        <v>0</v>
      </c>
      <c r="S38" s="386">
        <v>0</v>
      </c>
      <c r="T38" s="386">
        <f t="shared" si="1"/>
        <v>138240</v>
      </c>
      <c r="U38" s="456"/>
    </row>
    <row r="39" spans="1:21" ht="105">
      <c r="A39" s="444">
        <f t="shared" si="2"/>
        <v>26</v>
      </c>
      <c r="B39" s="445"/>
      <c r="C39" s="446"/>
      <c r="D39" s="446"/>
      <c r="E39" s="446"/>
      <c r="F39" s="446"/>
      <c r="G39" s="446"/>
      <c r="H39" s="446"/>
      <c r="I39" s="447" t="s">
        <v>918</v>
      </c>
      <c r="J39" s="448" t="s">
        <v>919</v>
      </c>
      <c r="K39" s="449" t="s">
        <v>862</v>
      </c>
      <c r="L39" s="450" t="s">
        <v>852</v>
      </c>
      <c r="M39" s="451">
        <v>138240</v>
      </c>
      <c r="N39" s="452">
        <f t="shared" si="0"/>
        <v>138240</v>
      </c>
      <c r="O39" s="453" t="s">
        <v>101</v>
      </c>
      <c r="P39" s="454">
        <v>0</v>
      </c>
      <c r="Q39" s="455">
        <v>0</v>
      </c>
      <c r="R39" s="386">
        <v>0</v>
      </c>
      <c r="S39" s="386">
        <v>0</v>
      </c>
      <c r="T39" s="386">
        <f t="shared" si="1"/>
        <v>138240</v>
      </c>
      <c r="U39" s="456"/>
    </row>
    <row r="40" spans="1:21" ht="120">
      <c r="A40" s="444">
        <f t="shared" si="2"/>
        <v>27</v>
      </c>
      <c r="B40" s="445"/>
      <c r="C40" s="446"/>
      <c r="D40" s="446"/>
      <c r="E40" s="446"/>
      <c r="F40" s="446"/>
      <c r="G40" s="446"/>
      <c r="H40" s="446"/>
      <c r="I40" s="447" t="s">
        <v>920</v>
      </c>
      <c r="J40" s="448" t="s">
        <v>921</v>
      </c>
      <c r="K40" s="449" t="s">
        <v>862</v>
      </c>
      <c r="L40" s="450" t="s">
        <v>852</v>
      </c>
      <c r="M40" s="451">
        <v>138240</v>
      </c>
      <c r="N40" s="452">
        <f t="shared" si="0"/>
        <v>138240</v>
      </c>
      <c r="O40" s="453" t="s">
        <v>101</v>
      </c>
      <c r="P40" s="454">
        <v>0</v>
      </c>
      <c r="Q40" s="455">
        <v>0</v>
      </c>
      <c r="R40" s="386">
        <v>0</v>
      </c>
      <c r="S40" s="386">
        <v>0</v>
      </c>
      <c r="T40" s="386">
        <f t="shared" si="1"/>
        <v>138240</v>
      </c>
      <c r="U40" s="456"/>
    </row>
    <row r="41" spans="1:21" ht="105">
      <c r="A41" s="444">
        <f t="shared" si="2"/>
        <v>28</v>
      </c>
      <c r="B41" s="445"/>
      <c r="C41" s="446"/>
      <c r="D41" s="446"/>
      <c r="E41" s="446"/>
      <c r="F41" s="446"/>
      <c r="G41" s="446"/>
      <c r="H41" s="446"/>
      <c r="I41" s="447" t="s">
        <v>922</v>
      </c>
      <c r="J41" s="448" t="s">
        <v>923</v>
      </c>
      <c r="K41" s="449" t="s">
        <v>862</v>
      </c>
      <c r="L41" s="450" t="s">
        <v>852</v>
      </c>
      <c r="M41" s="451">
        <v>138240</v>
      </c>
      <c r="N41" s="452">
        <f t="shared" si="0"/>
        <v>138240</v>
      </c>
      <c r="O41" s="453" t="s">
        <v>101</v>
      </c>
      <c r="P41" s="454">
        <v>0</v>
      </c>
      <c r="Q41" s="455">
        <v>0</v>
      </c>
      <c r="R41" s="386">
        <v>0</v>
      </c>
      <c r="S41" s="386">
        <v>0</v>
      </c>
      <c r="T41" s="386">
        <f t="shared" si="1"/>
        <v>138240</v>
      </c>
      <c r="U41" s="456"/>
    </row>
    <row r="42" spans="1:21" ht="135">
      <c r="A42" s="444">
        <f t="shared" si="2"/>
        <v>29</v>
      </c>
      <c r="B42" s="445"/>
      <c r="C42" s="446"/>
      <c r="D42" s="446"/>
      <c r="E42" s="446"/>
      <c r="F42" s="446"/>
      <c r="G42" s="446"/>
      <c r="H42" s="446"/>
      <c r="I42" s="447" t="s">
        <v>924</v>
      </c>
      <c r="J42" s="448" t="s">
        <v>925</v>
      </c>
      <c r="K42" s="449" t="s">
        <v>862</v>
      </c>
      <c r="L42" s="450" t="s">
        <v>852</v>
      </c>
      <c r="M42" s="451">
        <v>138240</v>
      </c>
      <c r="N42" s="452">
        <f t="shared" si="0"/>
        <v>138240</v>
      </c>
      <c r="O42" s="453" t="s">
        <v>101</v>
      </c>
      <c r="P42" s="454">
        <v>0</v>
      </c>
      <c r="Q42" s="455">
        <v>0</v>
      </c>
      <c r="R42" s="386">
        <v>0</v>
      </c>
      <c r="S42" s="386">
        <v>0</v>
      </c>
      <c r="T42" s="386">
        <f t="shared" si="1"/>
        <v>138240</v>
      </c>
      <c r="U42" s="456"/>
    </row>
    <row r="43" spans="1:21" ht="60">
      <c r="A43" s="444">
        <f t="shared" si="2"/>
        <v>30</v>
      </c>
      <c r="B43" s="445"/>
      <c r="C43" s="446"/>
      <c r="D43" s="446"/>
      <c r="E43" s="446"/>
      <c r="F43" s="446"/>
      <c r="G43" s="446"/>
      <c r="H43" s="446"/>
      <c r="I43" s="447" t="s">
        <v>926</v>
      </c>
      <c r="J43" s="448" t="s">
        <v>927</v>
      </c>
      <c r="K43" s="449" t="s">
        <v>901</v>
      </c>
      <c r="L43" s="450" t="s">
        <v>852</v>
      </c>
      <c r="M43" s="451">
        <v>120000</v>
      </c>
      <c r="N43" s="452">
        <f t="shared" si="0"/>
        <v>120000</v>
      </c>
      <c r="O43" s="453" t="s">
        <v>101</v>
      </c>
      <c r="P43" s="454">
        <v>0</v>
      </c>
      <c r="Q43" s="455">
        <v>0</v>
      </c>
      <c r="R43" s="386">
        <v>0</v>
      </c>
      <c r="S43" s="386">
        <v>0</v>
      </c>
      <c r="T43" s="386">
        <f t="shared" si="1"/>
        <v>120000</v>
      </c>
      <c r="U43" s="456"/>
    </row>
    <row r="44" spans="1:21" ht="105">
      <c r="A44" s="444">
        <f t="shared" si="2"/>
        <v>31</v>
      </c>
      <c r="B44" s="445"/>
      <c r="C44" s="446"/>
      <c r="D44" s="446"/>
      <c r="E44" s="446"/>
      <c r="F44" s="446"/>
      <c r="G44" s="446"/>
      <c r="H44" s="446"/>
      <c r="I44" s="447" t="s">
        <v>928</v>
      </c>
      <c r="J44" s="448" t="s">
        <v>929</v>
      </c>
      <c r="K44" s="449" t="s">
        <v>862</v>
      </c>
      <c r="L44" s="450" t="s">
        <v>852</v>
      </c>
      <c r="M44" s="451">
        <v>134400</v>
      </c>
      <c r="N44" s="452">
        <f t="shared" si="0"/>
        <v>134400</v>
      </c>
      <c r="O44" s="453" t="s">
        <v>101</v>
      </c>
      <c r="P44" s="454">
        <v>0</v>
      </c>
      <c r="Q44" s="455">
        <v>0</v>
      </c>
      <c r="R44" s="386">
        <v>0</v>
      </c>
      <c r="S44" s="386">
        <v>0</v>
      </c>
      <c r="T44" s="386">
        <f t="shared" si="1"/>
        <v>134400</v>
      </c>
      <c r="U44" s="456"/>
    </row>
    <row r="45" spans="1:21" ht="105">
      <c r="A45" s="444">
        <f t="shared" si="2"/>
        <v>32</v>
      </c>
      <c r="B45" s="445"/>
      <c r="C45" s="446"/>
      <c r="D45" s="446"/>
      <c r="E45" s="446"/>
      <c r="F45" s="446"/>
      <c r="G45" s="446"/>
      <c r="H45" s="446"/>
      <c r="I45" s="447" t="s">
        <v>930</v>
      </c>
      <c r="J45" s="448" t="s">
        <v>931</v>
      </c>
      <c r="K45" s="449" t="s">
        <v>862</v>
      </c>
      <c r="L45" s="450" t="s">
        <v>852</v>
      </c>
      <c r="M45" s="451">
        <v>134400</v>
      </c>
      <c r="N45" s="452">
        <f>M45</f>
        <v>134400</v>
      </c>
      <c r="O45" s="453" t="s">
        <v>101</v>
      </c>
      <c r="P45" s="454">
        <v>0</v>
      </c>
      <c r="Q45" s="455">
        <v>0</v>
      </c>
      <c r="R45" s="386">
        <v>0</v>
      </c>
      <c r="S45" s="386">
        <v>0</v>
      </c>
      <c r="T45" s="386">
        <f t="shared" si="1"/>
        <v>134400</v>
      </c>
      <c r="U45" s="456"/>
    </row>
    <row r="46" spans="1:21" ht="105">
      <c r="A46" s="444">
        <f t="shared" si="2"/>
        <v>33</v>
      </c>
      <c r="B46" s="445"/>
      <c r="C46" s="446"/>
      <c r="D46" s="446"/>
      <c r="E46" s="446"/>
      <c r="F46" s="446"/>
      <c r="G46" s="446"/>
      <c r="H46" s="446"/>
      <c r="I46" s="447" t="s">
        <v>932</v>
      </c>
      <c r="J46" s="448" t="s">
        <v>933</v>
      </c>
      <c r="K46" s="449" t="s">
        <v>862</v>
      </c>
      <c r="L46" s="450" t="s">
        <v>852</v>
      </c>
      <c r="M46" s="451">
        <v>134400</v>
      </c>
      <c r="N46" s="452">
        <f>M46</f>
        <v>134400</v>
      </c>
      <c r="O46" s="453" t="s">
        <v>101</v>
      </c>
      <c r="P46" s="454">
        <v>0</v>
      </c>
      <c r="Q46" s="455">
        <v>0</v>
      </c>
      <c r="R46" s="386">
        <v>0</v>
      </c>
      <c r="S46" s="386">
        <v>0</v>
      </c>
      <c r="T46" s="386">
        <f t="shared" si="1"/>
        <v>134400</v>
      </c>
      <c r="U46" s="456"/>
    </row>
    <row r="47" spans="1:21" ht="120">
      <c r="A47" s="444">
        <f t="shared" si="2"/>
        <v>34</v>
      </c>
      <c r="B47" s="445"/>
      <c r="C47" s="446"/>
      <c r="D47" s="446"/>
      <c r="E47" s="446"/>
      <c r="F47" s="446"/>
      <c r="G47" s="446"/>
      <c r="H47" s="446"/>
      <c r="I47" s="447" t="s">
        <v>934</v>
      </c>
      <c r="J47" s="448" t="s">
        <v>935</v>
      </c>
      <c r="K47" s="449" t="s">
        <v>862</v>
      </c>
      <c r="L47" s="450" t="s">
        <v>852</v>
      </c>
      <c r="M47" s="451">
        <v>134400</v>
      </c>
      <c r="N47" s="452">
        <f t="shared" si="0"/>
        <v>134400</v>
      </c>
      <c r="O47" s="453" t="s">
        <v>101</v>
      </c>
      <c r="P47" s="454">
        <v>0</v>
      </c>
      <c r="Q47" s="455">
        <v>0</v>
      </c>
      <c r="R47" s="386">
        <v>0</v>
      </c>
      <c r="S47" s="386">
        <v>0</v>
      </c>
      <c r="T47" s="386">
        <f t="shared" si="1"/>
        <v>134400</v>
      </c>
      <c r="U47" s="456"/>
    </row>
    <row r="48" spans="1:21" ht="105">
      <c r="A48" s="444">
        <f t="shared" si="2"/>
        <v>35</v>
      </c>
      <c r="B48" s="445"/>
      <c r="C48" s="446"/>
      <c r="D48" s="446"/>
      <c r="E48" s="446"/>
      <c r="F48" s="446"/>
      <c r="G48" s="446"/>
      <c r="H48" s="446"/>
      <c r="I48" s="447" t="s">
        <v>936</v>
      </c>
      <c r="J48" s="448" t="s">
        <v>937</v>
      </c>
      <c r="K48" s="449" t="s">
        <v>862</v>
      </c>
      <c r="L48" s="450" t="s">
        <v>852</v>
      </c>
      <c r="M48" s="451">
        <v>134400</v>
      </c>
      <c r="N48" s="452">
        <f>M48</f>
        <v>134400</v>
      </c>
      <c r="O48" s="453" t="s">
        <v>101</v>
      </c>
      <c r="P48" s="454">
        <v>0</v>
      </c>
      <c r="Q48" s="455">
        <v>0</v>
      </c>
      <c r="R48" s="386">
        <v>0</v>
      </c>
      <c r="S48" s="386">
        <v>0</v>
      </c>
      <c r="T48" s="386">
        <f t="shared" si="1"/>
        <v>134400</v>
      </c>
      <c r="U48" s="456"/>
    </row>
    <row r="49" spans="1:21" ht="105">
      <c r="A49" s="444">
        <f t="shared" si="2"/>
        <v>36</v>
      </c>
      <c r="B49" s="445"/>
      <c r="C49" s="446"/>
      <c r="D49" s="446"/>
      <c r="E49" s="446"/>
      <c r="F49" s="446"/>
      <c r="G49" s="446"/>
      <c r="H49" s="446"/>
      <c r="I49" s="447" t="s">
        <v>938</v>
      </c>
      <c r="J49" s="448" t="s">
        <v>939</v>
      </c>
      <c r="K49" s="449" t="s">
        <v>862</v>
      </c>
      <c r="L49" s="450" t="s">
        <v>852</v>
      </c>
      <c r="M49" s="451">
        <v>134400</v>
      </c>
      <c r="N49" s="452">
        <f>M49</f>
        <v>134400</v>
      </c>
      <c r="O49" s="453" t="s">
        <v>101</v>
      </c>
      <c r="P49" s="454">
        <v>0</v>
      </c>
      <c r="Q49" s="455">
        <v>0</v>
      </c>
      <c r="R49" s="386">
        <v>0</v>
      </c>
      <c r="S49" s="386">
        <v>0</v>
      </c>
      <c r="T49" s="386">
        <f t="shared" si="1"/>
        <v>134400</v>
      </c>
      <c r="U49" s="456"/>
    </row>
    <row r="50" spans="1:21" ht="105">
      <c r="A50" s="444">
        <f t="shared" si="2"/>
        <v>37</v>
      </c>
      <c r="B50" s="445"/>
      <c r="C50" s="446"/>
      <c r="D50" s="446"/>
      <c r="E50" s="446"/>
      <c r="F50" s="446"/>
      <c r="G50" s="446"/>
      <c r="H50" s="446"/>
      <c r="I50" s="447" t="s">
        <v>940</v>
      </c>
      <c r="J50" s="448" t="s">
        <v>941</v>
      </c>
      <c r="K50" s="449" t="s">
        <v>862</v>
      </c>
      <c r="L50" s="450" t="s">
        <v>852</v>
      </c>
      <c r="M50" s="451">
        <v>134400</v>
      </c>
      <c r="N50" s="452">
        <f>M50</f>
        <v>134400</v>
      </c>
      <c r="O50" s="453" t="s">
        <v>101</v>
      </c>
      <c r="P50" s="454">
        <v>0</v>
      </c>
      <c r="Q50" s="455">
        <v>0</v>
      </c>
      <c r="R50" s="386">
        <v>0</v>
      </c>
      <c r="S50" s="386">
        <v>0</v>
      </c>
      <c r="T50" s="386">
        <f t="shared" si="1"/>
        <v>134400</v>
      </c>
      <c r="U50" s="456"/>
    </row>
    <row r="51" spans="1:21" ht="105">
      <c r="A51" s="444">
        <f t="shared" si="2"/>
        <v>38</v>
      </c>
      <c r="B51" s="445"/>
      <c r="C51" s="446"/>
      <c r="D51" s="446"/>
      <c r="E51" s="446"/>
      <c r="F51" s="446"/>
      <c r="G51" s="446"/>
      <c r="H51" s="446"/>
      <c r="I51" s="447" t="s">
        <v>942</v>
      </c>
      <c r="J51" s="448" t="s">
        <v>943</v>
      </c>
      <c r="K51" s="449" t="s">
        <v>862</v>
      </c>
      <c r="L51" s="450" t="s">
        <v>852</v>
      </c>
      <c r="M51" s="451">
        <v>134400</v>
      </c>
      <c r="N51" s="452">
        <f>M51</f>
        <v>134400</v>
      </c>
      <c r="O51" s="453" t="s">
        <v>101</v>
      </c>
      <c r="P51" s="454">
        <v>0</v>
      </c>
      <c r="Q51" s="455">
        <v>0</v>
      </c>
      <c r="R51" s="386">
        <v>0</v>
      </c>
      <c r="S51" s="386">
        <v>0</v>
      </c>
      <c r="T51" s="386">
        <f t="shared" si="1"/>
        <v>134400</v>
      </c>
      <c r="U51" s="456"/>
    </row>
    <row r="52" spans="1:21" ht="105">
      <c r="A52" s="444">
        <f t="shared" si="2"/>
        <v>39</v>
      </c>
      <c r="B52" s="445"/>
      <c r="C52" s="446"/>
      <c r="D52" s="446"/>
      <c r="E52" s="446"/>
      <c r="F52" s="446"/>
      <c r="G52" s="446"/>
      <c r="H52" s="446"/>
      <c r="I52" s="447" t="s">
        <v>944</v>
      </c>
      <c r="J52" s="448" t="s">
        <v>945</v>
      </c>
      <c r="K52" s="449" t="s">
        <v>862</v>
      </c>
      <c r="L52" s="450" t="s">
        <v>852</v>
      </c>
      <c r="M52" s="451">
        <v>100800</v>
      </c>
      <c r="N52" s="452">
        <f t="shared" si="0"/>
        <v>100800</v>
      </c>
      <c r="O52" s="453" t="s">
        <v>101</v>
      </c>
      <c r="P52" s="454">
        <v>0</v>
      </c>
      <c r="Q52" s="455">
        <v>0</v>
      </c>
      <c r="R52" s="386">
        <v>0</v>
      </c>
      <c r="S52" s="386">
        <v>0</v>
      </c>
      <c r="T52" s="386">
        <f t="shared" si="1"/>
        <v>100800</v>
      </c>
      <c r="U52" s="456"/>
    </row>
    <row r="53" spans="1:21" ht="105">
      <c r="A53" s="444">
        <f t="shared" si="2"/>
        <v>40</v>
      </c>
      <c r="B53" s="445"/>
      <c r="C53" s="446"/>
      <c r="D53" s="446"/>
      <c r="E53" s="446"/>
      <c r="F53" s="446"/>
      <c r="G53" s="446"/>
      <c r="H53" s="446"/>
      <c r="I53" s="447" t="s">
        <v>946</v>
      </c>
      <c r="J53" s="448" t="s">
        <v>947</v>
      </c>
      <c r="K53" s="449" t="s">
        <v>862</v>
      </c>
      <c r="L53" s="450" t="s">
        <v>852</v>
      </c>
      <c r="M53" s="451">
        <v>100800</v>
      </c>
      <c r="N53" s="452">
        <f>M53</f>
        <v>100800</v>
      </c>
      <c r="O53" s="453" t="s">
        <v>101</v>
      </c>
      <c r="P53" s="454">
        <v>0</v>
      </c>
      <c r="Q53" s="455">
        <v>0</v>
      </c>
      <c r="R53" s="386">
        <v>0</v>
      </c>
      <c r="S53" s="386">
        <v>0</v>
      </c>
      <c r="T53" s="386">
        <f t="shared" si="1"/>
        <v>100800</v>
      </c>
      <c r="U53" s="456"/>
    </row>
    <row r="54" spans="1:21" ht="105">
      <c r="A54" s="444">
        <f t="shared" si="2"/>
        <v>41</v>
      </c>
      <c r="B54" s="445"/>
      <c r="C54" s="446"/>
      <c r="D54" s="446"/>
      <c r="E54" s="446"/>
      <c r="F54" s="446"/>
      <c r="G54" s="446"/>
      <c r="H54" s="446"/>
      <c r="I54" s="447" t="s">
        <v>948</v>
      </c>
      <c r="J54" s="448" t="s">
        <v>949</v>
      </c>
      <c r="K54" s="449" t="s">
        <v>862</v>
      </c>
      <c r="L54" s="450" t="s">
        <v>852</v>
      </c>
      <c r="M54" s="451">
        <v>100800</v>
      </c>
      <c r="N54" s="452">
        <f>M54</f>
        <v>100800</v>
      </c>
      <c r="O54" s="453" t="s">
        <v>101</v>
      </c>
      <c r="P54" s="454">
        <v>0</v>
      </c>
      <c r="Q54" s="455">
        <v>0</v>
      </c>
      <c r="R54" s="386">
        <v>0</v>
      </c>
      <c r="S54" s="386">
        <v>0</v>
      </c>
      <c r="T54" s="386">
        <f t="shared" si="1"/>
        <v>100800</v>
      </c>
      <c r="U54" s="456"/>
    </row>
    <row r="55" spans="1:21" ht="105">
      <c r="A55" s="444">
        <f t="shared" si="2"/>
        <v>42</v>
      </c>
      <c r="B55" s="445"/>
      <c r="C55" s="446"/>
      <c r="D55" s="446"/>
      <c r="E55" s="446"/>
      <c r="F55" s="446"/>
      <c r="G55" s="446"/>
      <c r="H55" s="446"/>
      <c r="I55" s="447" t="s">
        <v>950</v>
      </c>
      <c r="J55" s="448" t="s">
        <v>951</v>
      </c>
      <c r="K55" s="449" t="s">
        <v>862</v>
      </c>
      <c r="L55" s="450" t="s">
        <v>852</v>
      </c>
      <c r="M55" s="451">
        <v>100800</v>
      </c>
      <c r="N55" s="452">
        <f>M55</f>
        <v>100800</v>
      </c>
      <c r="O55" s="453" t="s">
        <v>101</v>
      </c>
      <c r="P55" s="454">
        <v>0</v>
      </c>
      <c r="Q55" s="455">
        <v>0</v>
      </c>
      <c r="R55" s="386">
        <v>0</v>
      </c>
      <c r="S55" s="386">
        <v>0</v>
      </c>
      <c r="T55" s="386">
        <f t="shared" si="1"/>
        <v>100800</v>
      </c>
      <c r="U55" s="456"/>
    </row>
    <row r="56" spans="1:21" ht="105">
      <c r="A56" s="444">
        <f t="shared" si="2"/>
        <v>43</v>
      </c>
      <c r="B56" s="445"/>
      <c r="C56" s="446"/>
      <c r="D56" s="446"/>
      <c r="E56" s="446"/>
      <c r="F56" s="446"/>
      <c r="G56" s="446"/>
      <c r="H56" s="446"/>
      <c r="I56" s="447" t="s">
        <v>952</v>
      </c>
      <c r="J56" s="448" t="s">
        <v>953</v>
      </c>
      <c r="K56" s="449" t="s">
        <v>862</v>
      </c>
      <c r="L56" s="450" t="s">
        <v>852</v>
      </c>
      <c r="M56" s="451">
        <v>134400</v>
      </c>
      <c r="N56" s="452">
        <f t="shared" si="0"/>
        <v>134400</v>
      </c>
      <c r="O56" s="453" t="s">
        <v>101</v>
      </c>
      <c r="P56" s="454">
        <v>0</v>
      </c>
      <c r="Q56" s="455">
        <v>0</v>
      </c>
      <c r="R56" s="386">
        <v>0</v>
      </c>
      <c r="S56" s="386">
        <v>0</v>
      </c>
      <c r="T56" s="386">
        <f t="shared" si="1"/>
        <v>134400</v>
      </c>
      <c r="U56" s="456"/>
    </row>
    <row r="57" spans="1:21" ht="105">
      <c r="A57" s="444">
        <f t="shared" si="2"/>
        <v>44</v>
      </c>
      <c r="B57" s="445"/>
      <c r="C57" s="446"/>
      <c r="D57" s="446"/>
      <c r="E57" s="446"/>
      <c r="F57" s="446"/>
      <c r="G57" s="446"/>
      <c r="H57" s="446"/>
      <c r="I57" s="447" t="s">
        <v>954</v>
      </c>
      <c r="J57" s="448" t="s">
        <v>955</v>
      </c>
      <c r="K57" s="449" t="s">
        <v>862</v>
      </c>
      <c r="L57" s="450" t="s">
        <v>852</v>
      </c>
      <c r="M57" s="451">
        <v>134400</v>
      </c>
      <c r="N57" s="452">
        <f>M57</f>
        <v>134400</v>
      </c>
      <c r="O57" s="453" t="s">
        <v>101</v>
      </c>
      <c r="P57" s="454">
        <v>0</v>
      </c>
      <c r="Q57" s="455">
        <v>0</v>
      </c>
      <c r="R57" s="386">
        <v>0</v>
      </c>
      <c r="S57" s="386">
        <v>0</v>
      </c>
      <c r="T57" s="386">
        <f t="shared" si="1"/>
        <v>134400</v>
      </c>
      <c r="U57" s="456"/>
    </row>
    <row r="58" spans="1:21" ht="105">
      <c r="A58" s="444">
        <f t="shared" si="2"/>
        <v>45</v>
      </c>
      <c r="B58" s="445"/>
      <c r="C58" s="446"/>
      <c r="D58" s="446"/>
      <c r="E58" s="446"/>
      <c r="F58" s="446"/>
      <c r="G58" s="446"/>
      <c r="H58" s="446"/>
      <c r="I58" s="447" t="s">
        <v>956</v>
      </c>
      <c r="J58" s="448" t="s">
        <v>957</v>
      </c>
      <c r="K58" s="449" t="s">
        <v>862</v>
      </c>
      <c r="L58" s="450" t="s">
        <v>852</v>
      </c>
      <c r="M58" s="451">
        <v>134400</v>
      </c>
      <c r="N58" s="452">
        <f>M58</f>
        <v>134400</v>
      </c>
      <c r="O58" s="453" t="s">
        <v>101</v>
      </c>
      <c r="P58" s="454">
        <v>0</v>
      </c>
      <c r="Q58" s="455">
        <v>0</v>
      </c>
      <c r="R58" s="386">
        <v>0</v>
      </c>
      <c r="S58" s="386">
        <v>0</v>
      </c>
      <c r="T58" s="386">
        <f t="shared" si="1"/>
        <v>134400</v>
      </c>
      <c r="U58" s="456"/>
    </row>
    <row r="59" spans="1:21" ht="105">
      <c r="A59" s="444">
        <f t="shared" si="2"/>
        <v>46</v>
      </c>
      <c r="B59" s="445"/>
      <c r="C59" s="446"/>
      <c r="D59" s="446"/>
      <c r="E59" s="446"/>
      <c r="F59" s="446"/>
      <c r="G59" s="446"/>
      <c r="H59" s="446"/>
      <c r="I59" s="447" t="s">
        <v>958</v>
      </c>
      <c r="J59" s="448" t="s">
        <v>959</v>
      </c>
      <c r="K59" s="449" t="s">
        <v>862</v>
      </c>
      <c r="L59" s="450" t="s">
        <v>852</v>
      </c>
      <c r="M59" s="451">
        <v>134400</v>
      </c>
      <c r="N59" s="452">
        <f>M59</f>
        <v>134400</v>
      </c>
      <c r="O59" s="453" t="s">
        <v>101</v>
      </c>
      <c r="P59" s="454">
        <v>0</v>
      </c>
      <c r="Q59" s="455">
        <v>0</v>
      </c>
      <c r="R59" s="386">
        <v>0</v>
      </c>
      <c r="S59" s="386">
        <v>0</v>
      </c>
      <c r="T59" s="386">
        <f t="shared" si="1"/>
        <v>134400</v>
      </c>
      <c r="U59" s="456"/>
    </row>
    <row r="60" spans="1:21" ht="45">
      <c r="A60" s="444">
        <f t="shared" si="2"/>
        <v>47</v>
      </c>
      <c r="B60" s="445"/>
      <c r="C60" s="446"/>
      <c r="D60" s="446"/>
      <c r="E60" s="446"/>
      <c r="F60" s="446"/>
      <c r="G60" s="446"/>
      <c r="H60" s="446"/>
      <c r="I60" s="447" t="s">
        <v>960</v>
      </c>
      <c r="J60" s="448" t="s">
        <v>961</v>
      </c>
      <c r="K60" s="449" t="s">
        <v>851</v>
      </c>
      <c r="L60" s="450" t="s">
        <v>852</v>
      </c>
      <c r="M60" s="451">
        <v>420000</v>
      </c>
      <c r="N60" s="452">
        <f t="shared" si="0"/>
        <v>420000</v>
      </c>
      <c r="O60" s="453" t="s">
        <v>101</v>
      </c>
      <c r="P60" s="454">
        <v>0</v>
      </c>
      <c r="Q60" s="455">
        <v>0</v>
      </c>
      <c r="R60" s="386">
        <v>0</v>
      </c>
      <c r="S60" s="386">
        <v>0</v>
      </c>
      <c r="T60" s="386">
        <f t="shared" si="1"/>
        <v>420000</v>
      </c>
      <c r="U60" s="456"/>
    </row>
    <row r="61" spans="1:21" ht="75">
      <c r="A61" s="444">
        <f t="shared" si="2"/>
        <v>48</v>
      </c>
      <c r="B61" s="445"/>
      <c r="C61" s="446"/>
      <c r="D61" s="446"/>
      <c r="E61" s="446"/>
      <c r="F61" s="446"/>
      <c r="G61" s="446"/>
      <c r="H61" s="446"/>
      <c r="I61" s="447" t="s">
        <v>962</v>
      </c>
      <c r="J61" s="448" t="s">
        <v>963</v>
      </c>
      <c r="K61" s="449" t="s">
        <v>901</v>
      </c>
      <c r="L61" s="450" t="s">
        <v>852</v>
      </c>
      <c r="M61" s="451">
        <v>1200000</v>
      </c>
      <c r="N61" s="452">
        <f t="shared" si="0"/>
        <v>1200000</v>
      </c>
      <c r="O61" s="453" t="s">
        <v>101</v>
      </c>
      <c r="P61" s="454">
        <v>0</v>
      </c>
      <c r="Q61" s="455">
        <v>0</v>
      </c>
      <c r="R61" s="386">
        <v>0</v>
      </c>
      <c r="S61" s="386">
        <v>0</v>
      </c>
      <c r="T61" s="386">
        <f t="shared" si="1"/>
        <v>1200000</v>
      </c>
      <c r="U61" s="456"/>
    </row>
    <row r="62" spans="1:21" ht="45">
      <c r="A62" s="444">
        <f t="shared" si="2"/>
        <v>49</v>
      </c>
      <c r="B62" s="445"/>
      <c r="C62" s="446"/>
      <c r="D62" s="446"/>
      <c r="E62" s="446"/>
      <c r="F62" s="446"/>
      <c r="G62" s="446"/>
      <c r="H62" s="446"/>
      <c r="I62" s="447" t="s">
        <v>964</v>
      </c>
      <c r="J62" s="448" t="s">
        <v>965</v>
      </c>
      <c r="K62" s="449" t="s">
        <v>901</v>
      </c>
      <c r="L62" s="450" t="s">
        <v>852</v>
      </c>
      <c r="M62" s="451">
        <v>240000</v>
      </c>
      <c r="N62" s="452">
        <f t="shared" si="0"/>
        <v>240000</v>
      </c>
      <c r="O62" s="453" t="s">
        <v>101</v>
      </c>
      <c r="P62" s="454">
        <v>0</v>
      </c>
      <c r="Q62" s="455">
        <v>0</v>
      </c>
      <c r="R62" s="386">
        <v>0</v>
      </c>
      <c r="S62" s="386">
        <v>0</v>
      </c>
      <c r="T62" s="386">
        <f t="shared" si="1"/>
        <v>240000</v>
      </c>
      <c r="U62" s="456"/>
    </row>
    <row r="63" spans="1:21" ht="45">
      <c r="A63" s="444">
        <f t="shared" si="2"/>
        <v>50</v>
      </c>
      <c r="B63" s="445"/>
      <c r="C63" s="446"/>
      <c r="D63" s="446"/>
      <c r="E63" s="446"/>
      <c r="F63" s="446"/>
      <c r="G63" s="446"/>
      <c r="H63" s="446"/>
      <c r="I63" s="447" t="s">
        <v>966</v>
      </c>
      <c r="J63" s="448" t="s">
        <v>967</v>
      </c>
      <c r="K63" s="449" t="s">
        <v>851</v>
      </c>
      <c r="L63" s="450" t="s">
        <v>852</v>
      </c>
      <c r="M63" s="451">
        <v>3000000</v>
      </c>
      <c r="N63" s="452">
        <f t="shared" si="0"/>
        <v>3000000</v>
      </c>
      <c r="O63" s="453" t="s">
        <v>101</v>
      </c>
      <c r="P63" s="454">
        <v>0</v>
      </c>
      <c r="Q63" s="455">
        <v>0</v>
      </c>
      <c r="R63" s="386">
        <v>0</v>
      </c>
      <c r="S63" s="386">
        <v>0</v>
      </c>
      <c r="T63" s="386">
        <f t="shared" si="1"/>
        <v>3000000</v>
      </c>
      <c r="U63" s="456"/>
    </row>
    <row r="64" spans="1:21" ht="105">
      <c r="A64" s="444">
        <f t="shared" si="2"/>
        <v>51</v>
      </c>
      <c r="B64" s="445"/>
      <c r="C64" s="446"/>
      <c r="D64" s="446"/>
      <c r="E64" s="446"/>
      <c r="F64" s="446"/>
      <c r="G64" s="446"/>
      <c r="H64" s="446"/>
      <c r="I64" s="447" t="s">
        <v>968</v>
      </c>
      <c r="J64" s="448" t="s">
        <v>969</v>
      </c>
      <c r="K64" s="449" t="s">
        <v>862</v>
      </c>
      <c r="L64" s="450" t="s">
        <v>852</v>
      </c>
      <c r="M64" s="451">
        <v>109964</v>
      </c>
      <c r="N64" s="452">
        <f t="shared" si="0"/>
        <v>109964</v>
      </c>
      <c r="O64" s="453" t="s">
        <v>101</v>
      </c>
      <c r="P64" s="454">
        <v>0</v>
      </c>
      <c r="Q64" s="455">
        <v>0</v>
      </c>
      <c r="R64" s="386">
        <v>0</v>
      </c>
      <c r="S64" s="386">
        <v>0</v>
      </c>
      <c r="T64" s="386">
        <f t="shared" si="1"/>
        <v>109964</v>
      </c>
      <c r="U64" s="456"/>
    </row>
    <row r="65" spans="1:21" ht="105">
      <c r="A65" s="444">
        <f t="shared" si="2"/>
        <v>52</v>
      </c>
      <c r="B65" s="445"/>
      <c r="C65" s="446"/>
      <c r="D65" s="446"/>
      <c r="E65" s="446"/>
      <c r="F65" s="446"/>
      <c r="G65" s="446"/>
      <c r="H65" s="446"/>
      <c r="I65" s="447" t="s">
        <v>970</v>
      </c>
      <c r="J65" s="448" t="s">
        <v>971</v>
      </c>
      <c r="K65" s="449" t="s">
        <v>862</v>
      </c>
      <c r="L65" s="450" t="s">
        <v>852</v>
      </c>
      <c r="M65" s="451">
        <v>109964</v>
      </c>
      <c r="N65" s="452">
        <f t="shared" si="0"/>
        <v>109964</v>
      </c>
      <c r="O65" s="453" t="s">
        <v>101</v>
      </c>
      <c r="P65" s="454">
        <v>0</v>
      </c>
      <c r="Q65" s="455">
        <v>0</v>
      </c>
      <c r="R65" s="386">
        <v>0</v>
      </c>
      <c r="S65" s="386">
        <v>0</v>
      </c>
      <c r="T65" s="386">
        <f t="shared" si="1"/>
        <v>109964</v>
      </c>
      <c r="U65" s="456"/>
    </row>
    <row r="66" spans="1:21" ht="105">
      <c r="A66" s="444">
        <f t="shared" si="2"/>
        <v>53</v>
      </c>
      <c r="B66" s="445"/>
      <c r="C66" s="446"/>
      <c r="D66" s="446"/>
      <c r="E66" s="446"/>
      <c r="F66" s="446"/>
      <c r="G66" s="446"/>
      <c r="H66" s="446"/>
      <c r="I66" s="447" t="s">
        <v>972</v>
      </c>
      <c r="J66" s="448" t="s">
        <v>973</v>
      </c>
      <c r="K66" s="449" t="s">
        <v>862</v>
      </c>
      <c r="L66" s="450" t="s">
        <v>852</v>
      </c>
      <c r="M66" s="451">
        <v>109964</v>
      </c>
      <c r="N66" s="452">
        <f t="shared" si="0"/>
        <v>109964</v>
      </c>
      <c r="O66" s="453" t="s">
        <v>101</v>
      </c>
      <c r="P66" s="454">
        <v>0</v>
      </c>
      <c r="Q66" s="455">
        <v>0</v>
      </c>
      <c r="R66" s="386">
        <v>0</v>
      </c>
      <c r="S66" s="386">
        <v>0</v>
      </c>
      <c r="T66" s="386">
        <f t="shared" si="1"/>
        <v>109964</v>
      </c>
      <c r="U66" s="456"/>
    </row>
    <row r="67" spans="1:21" ht="105">
      <c r="A67" s="444">
        <f t="shared" si="2"/>
        <v>54</v>
      </c>
      <c r="B67" s="445"/>
      <c r="C67" s="446"/>
      <c r="D67" s="446"/>
      <c r="E67" s="446"/>
      <c r="F67" s="446"/>
      <c r="G67" s="446"/>
      <c r="H67" s="446"/>
      <c r="I67" s="447" t="s">
        <v>974</v>
      </c>
      <c r="J67" s="448" t="s">
        <v>975</v>
      </c>
      <c r="K67" s="449" t="s">
        <v>862</v>
      </c>
      <c r="L67" s="450" t="s">
        <v>852</v>
      </c>
      <c r="M67" s="451">
        <v>109964</v>
      </c>
      <c r="N67" s="452">
        <f t="shared" si="0"/>
        <v>109964</v>
      </c>
      <c r="O67" s="453" t="s">
        <v>101</v>
      </c>
      <c r="P67" s="454">
        <v>0</v>
      </c>
      <c r="Q67" s="455">
        <v>0</v>
      </c>
      <c r="R67" s="386">
        <v>0</v>
      </c>
      <c r="S67" s="386">
        <v>0</v>
      </c>
      <c r="T67" s="386">
        <f t="shared" si="1"/>
        <v>109964</v>
      </c>
      <c r="U67" s="456"/>
    </row>
    <row r="68" spans="1:21" ht="105">
      <c r="A68" s="444">
        <f t="shared" si="2"/>
        <v>55</v>
      </c>
      <c r="B68" s="445"/>
      <c r="C68" s="446"/>
      <c r="D68" s="446"/>
      <c r="E68" s="446"/>
      <c r="F68" s="446"/>
      <c r="G68" s="446"/>
      <c r="H68" s="446"/>
      <c r="I68" s="447" t="s">
        <v>976</v>
      </c>
      <c r="J68" s="448" t="s">
        <v>977</v>
      </c>
      <c r="K68" s="449" t="s">
        <v>862</v>
      </c>
      <c r="L68" s="450" t="s">
        <v>852</v>
      </c>
      <c r="M68" s="451">
        <v>109964</v>
      </c>
      <c r="N68" s="452">
        <f t="shared" si="0"/>
        <v>109964</v>
      </c>
      <c r="O68" s="453" t="s">
        <v>101</v>
      </c>
      <c r="P68" s="454">
        <v>0</v>
      </c>
      <c r="Q68" s="455">
        <v>0</v>
      </c>
      <c r="R68" s="386">
        <v>0</v>
      </c>
      <c r="S68" s="386">
        <v>0</v>
      </c>
      <c r="T68" s="386">
        <f t="shared" si="1"/>
        <v>109964</v>
      </c>
      <c r="U68" s="456"/>
    </row>
    <row r="69" spans="1:21" ht="105">
      <c r="A69" s="444">
        <f t="shared" si="2"/>
        <v>56</v>
      </c>
      <c r="B69" s="445"/>
      <c r="C69" s="446"/>
      <c r="D69" s="446"/>
      <c r="E69" s="446"/>
      <c r="F69" s="446"/>
      <c r="G69" s="446"/>
      <c r="H69" s="446"/>
      <c r="I69" s="447" t="s">
        <v>978</v>
      </c>
      <c r="J69" s="448" t="s">
        <v>979</v>
      </c>
      <c r="K69" s="449" t="s">
        <v>862</v>
      </c>
      <c r="L69" s="450" t="s">
        <v>852</v>
      </c>
      <c r="M69" s="451">
        <v>109964</v>
      </c>
      <c r="N69" s="452">
        <f t="shared" si="0"/>
        <v>109964</v>
      </c>
      <c r="O69" s="453" t="s">
        <v>101</v>
      </c>
      <c r="P69" s="454">
        <v>0</v>
      </c>
      <c r="Q69" s="455">
        <v>0</v>
      </c>
      <c r="R69" s="386">
        <v>0</v>
      </c>
      <c r="S69" s="386">
        <v>0</v>
      </c>
      <c r="T69" s="386">
        <f t="shared" si="1"/>
        <v>109964</v>
      </c>
      <c r="U69" s="456"/>
    </row>
    <row r="70" spans="1:21" ht="120">
      <c r="A70" s="444">
        <f t="shared" si="2"/>
        <v>57</v>
      </c>
      <c r="B70" s="445"/>
      <c r="C70" s="446"/>
      <c r="D70" s="446"/>
      <c r="E70" s="446"/>
      <c r="F70" s="446"/>
      <c r="G70" s="446"/>
      <c r="H70" s="446"/>
      <c r="I70" s="447" t="s">
        <v>980</v>
      </c>
      <c r="J70" s="448" t="s">
        <v>981</v>
      </c>
      <c r="K70" s="449" t="s">
        <v>862</v>
      </c>
      <c r="L70" s="450" t="s">
        <v>852</v>
      </c>
      <c r="M70" s="451">
        <v>109964</v>
      </c>
      <c r="N70" s="452">
        <f t="shared" si="0"/>
        <v>109964</v>
      </c>
      <c r="O70" s="453" t="s">
        <v>101</v>
      </c>
      <c r="P70" s="454">
        <v>0</v>
      </c>
      <c r="Q70" s="455">
        <v>0</v>
      </c>
      <c r="R70" s="386">
        <v>0</v>
      </c>
      <c r="S70" s="386">
        <v>0</v>
      </c>
      <c r="T70" s="386">
        <f t="shared" si="1"/>
        <v>109964</v>
      </c>
      <c r="U70" s="456"/>
    </row>
    <row r="71" spans="1:21" ht="105">
      <c r="A71" s="444">
        <f t="shared" si="2"/>
        <v>58</v>
      </c>
      <c r="B71" s="445"/>
      <c r="C71" s="446"/>
      <c r="D71" s="446"/>
      <c r="E71" s="446"/>
      <c r="F71" s="446"/>
      <c r="G71" s="446"/>
      <c r="H71" s="446"/>
      <c r="I71" s="447" t="s">
        <v>982</v>
      </c>
      <c r="J71" s="448" t="s">
        <v>983</v>
      </c>
      <c r="K71" s="449" t="s">
        <v>862</v>
      </c>
      <c r="L71" s="450" t="s">
        <v>852</v>
      </c>
      <c r="M71" s="451">
        <v>109964</v>
      </c>
      <c r="N71" s="452">
        <f t="shared" si="0"/>
        <v>109964</v>
      </c>
      <c r="O71" s="453" t="s">
        <v>101</v>
      </c>
      <c r="P71" s="454">
        <v>0</v>
      </c>
      <c r="Q71" s="455">
        <v>0</v>
      </c>
      <c r="R71" s="386">
        <v>0</v>
      </c>
      <c r="S71" s="386">
        <v>0</v>
      </c>
      <c r="T71" s="386">
        <f t="shared" si="1"/>
        <v>109964</v>
      </c>
      <c r="U71" s="456"/>
    </row>
    <row r="72" spans="1:21" ht="120">
      <c r="A72" s="444">
        <f t="shared" si="2"/>
        <v>59</v>
      </c>
      <c r="B72" s="445"/>
      <c r="C72" s="446"/>
      <c r="D72" s="446"/>
      <c r="E72" s="446"/>
      <c r="F72" s="446"/>
      <c r="G72" s="446"/>
      <c r="H72" s="446"/>
      <c r="I72" s="447" t="s">
        <v>984</v>
      </c>
      <c r="J72" s="448" t="s">
        <v>985</v>
      </c>
      <c r="K72" s="449" t="s">
        <v>862</v>
      </c>
      <c r="L72" s="450" t="s">
        <v>852</v>
      </c>
      <c r="M72" s="451">
        <v>109964</v>
      </c>
      <c r="N72" s="452">
        <f t="shared" si="0"/>
        <v>109964</v>
      </c>
      <c r="O72" s="453" t="s">
        <v>101</v>
      </c>
      <c r="P72" s="454">
        <v>0</v>
      </c>
      <c r="Q72" s="455">
        <v>0</v>
      </c>
      <c r="R72" s="386">
        <v>0</v>
      </c>
      <c r="S72" s="386">
        <v>0</v>
      </c>
      <c r="T72" s="386">
        <f t="shared" si="1"/>
        <v>109964</v>
      </c>
      <c r="U72" s="456"/>
    </row>
    <row r="73" spans="1:21" ht="105">
      <c r="A73" s="444">
        <f t="shared" si="2"/>
        <v>60</v>
      </c>
      <c r="B73" s="445"/>
      <c r="C73" s="446"/>
      <c r="D73" s="446"/>
      <c r="E73" s="446"/>
      <c r="F73" s="446"/>
      <c r="G73" s="446"/>
      <c r="H73" s="446"/>
      <c r="I73" s="447" t="s">
        <v>986</v>
      </c>
      <c r="J73" s="448" t="s">
        <v>987</v>
      </c>
      <c r="K73" s="449" t="s">
        <v>862</v>
      </c>
      <c r="L73" s="450" t="s">
        <v>852</v>
      </c>
      <c r="M73" s="451">
        <v>109964</v>
      </c>
      <c r="N73" s="452">
        <f t="shared" si="0"/>
        <v>109964</v>
      </c>
      <c r="O73" s="453" t="s">
        <v>101</v>
      </c>
      <c r="P73" s="454">
        <v>0</v>
      </c>
      <c r="Q73" s="455">
        <v>0</v>
      </c>
      <c r="R73" s="386">
        <v>0</v>
      </c>
      <c r="S73" s="386">
        <v>0</v>
      </c>
      <c r="T73" s="386">
        <f t="shared" ref="T73:T136" si="3">N73-R73-S73</f>
        <v>109964</v>
      </c>
      <c r="U73" s="456"/>
    </row>
    <row r="74" spans="1:21" ht="105">
      <c r="A74" s="444">
        <f t="shared" si="2"/>
        <v>61</v>
      </c>
      <c r="B74" s="445"/>
      <c r="C74" s="446"/>
      <c r="D74" s="446"/>
      <c r="E74" s="446"/>
      <c r="F74" s="446"/>
      <c r="G74" s="446"/>
      <c r="H74" s="446"/>
      <c r="I74" s="447" t="s">
        <v>988</v>
      </c>
      <c r="J74" s="448" t="s">
        <v>989</v>
      </c>
      <c r="K74" s="449" t="s">
        <v>862</v>
      </c>
      <c r="L74" s="450" t="s">
        <v>852</v>
      </c>
      <c r="M74" s="451">
        <v>109964</v>
      </c>
      <c r="N74" s="452">
        <f t="shared" si="0"/>
        <v>109964</v>
      </c>
      <c r="O74" s="453" t="s">
        <v>101</v>
      </c>
      <c r="P74" s="454">
        <v>0</v>
      </c>
      <c r="Q74" s="455">
        <v>0</v>
      </c>
      <c r="R74" s="386">
        <v>0</v>
      </c>
      <c r="S74" s="386">
        <v>0</v>
      </c>
      <c r="T74" s="386">
        <f t="shared" si="3"/>
        <v>109964</v>
      </c>
      <c r="U74" s="456"/>
    </row>
    <row r="75" spans="1:21" ht="105">
      <c r="A75" s="444">
        <f t="shared" si="2"/>
        <v>62</v>
      </c>
      <c r="B75" s="445"/>
      <c r="C75" s="446"/>
      <c r="D75" s="446"/>
      <c r="E75" s="446"/>
      <c r="F75" s="446"/>
      <c r="G75" s="446"/>
      <c r="H75" s="446"/>
      <c r="I75" s="447" t="s">
        <v>990</v>
      </c>
      <c r="J75" s="448" t="s">
        <v>991</v>
      </c>
      <c r="K75" s="449" t="s">
        <v>862</v>
      </c>
      <c r="L75" s="450" t="s">
        <v>852</v>
      </c>
      <c r="M75" s="451">
        <v>134400</v>
      </c>
      <c r="N75" s="452">
        <f t="shared" si="0"/>
        <v>134400</v>
      </c>
      <c r="O75" s="453" t="s">
        <v>101</v>
      </c>
      <c r="P75" s="454">
        <v>0</v>
      </c>
      <c r="Q75" s="455">
        <v>0</v>
      </c>
      <c r="R75" s="386">
        <v>0</v>
      </c>
      <c r="S75" s="386">
        <v>0</v>
      </c>
      <c r="T75" s="386">
        <f t="shared" si="3"/>
        <v>134400</v>
      </c>
      <c r="U75" s="456"/>
    </row>
    <row r="76" spans="1:21" ht="120">
      <c r="A76" s="444">
        <f t="shared" si="2"/>
        <v>63</v>
      </c>
      <c r="B76" s="445"/>
      <c r="C76" s="446"/>
      <c r="D76" s="446"/>
      <c r="E76" s="446"/>
      <c r="F76" s="446"/>
      <c r="G76" s="446"/>
      <c r="H76" s="446"/>
      <c r="I76" s="447" t="s">
        <v>992</v>
      </c>
      <c r="J76" s="448" t="s">
        <v>993</v>
      </c>
      <c r="K76" s="449" t="s">
        <v>862</v>
      </c>
      <c r="L76" s="450" t="s">
        <v>852</v>
      </c>
      <c r="M76" s="451">
        <v>134400</v>
      </c>
      <c r="N76" s="452">
        <f t="shared" si="0"/>
        <v>134400</v>
      </c>
      <c r="O76" s="453" t="s">
        <v>101</v>
      </c>
      <c r="P76" s="454">
        <v>0</v>
      </c>
      <c r="Q76" s="455">
        <v>0</v>
      </c>
      <c r="R76" s="386">
        <v>0</v>
      </c>
      <c r="S76" s="386">
        <v>0</v>
      </c>
      <c r="T76" s="386">
        <f t="shared" si="3"/>
        <v>134400</v>
      </c>
      <c r="U76" s="456"/>
    </row>
    <row r="77" spans="1:21" ht="135">
      <c r="A77" s="444">
        <f t="shared" si="2"/>
        <v>64</v>
      </c>
      <c r="B77" s="445"/>
      <c r="C77" s="446"/>
      <c r="D77" s="446"/>
      <c r="E77" s="446"/>
      <c r="F77" s="446"/>
      <c r="G77" s="446"/>
      <c r="H77" s="446"/>
      <c r="I77" s="447" t="s">
        <v>994</v>
      </c>
      <c r="J77" s="448" t="s">
        <v>995</v>
      </c>
      <c r="K77" s="449" t="s">
        <v>862</v>
      </c>
      <c r="L77" s="450" t="s">
        <v>852</v>
      </c>
      <c r="M77" s="451">
        <v>134400</v>
      </c>
      <c r="N77" s="452">
        <f t="shared" si="0"/>
        <v>134400</v>
      </c>
      <c r="O77" s="453" t="s">
        <v>101</v>
      </c>
      <c r="P77" s="454">
        <v>0</v>
      </c>
      <c r="Q77" s="455">
        <v>0</v>
      </c>
      <c r="R77" s="386">
        <v>0</v>
      </c>
      <c r="S77" s="386">
        <v>0</v>
      </c>
      <c r="T77" s="386">
        <f t="shared" si="3"/>
        <v>134400</v>
      </c>
      <c r="U77" s="456"/>
    </row>
    <row r="78" spans="1:21" ht="120">
      <c r="A78" s="444">
        <f t="shared" si="2"/>
        <v>65</v>
      </c>
      <c r="B78" s="445"/>
      <c r="C78" s="446"/>
      <c r="D78" s="446"/>
      <c r="E78" s="446"/>
      <c r="F78" s="446"/>
      <c r="G78" s="446"/>
      <c r="H78" s="446"/>
      <c r="I78" s="447" t="s">
        <v>996</v>
      </c>
      <c r="J78" s="448" t="s">
        <v>997</v>
      </c>
      <c r="K78" s="449" t="s">
        <v>862</v>
      </c>
      <c r="L78" s="450" t="s">
        <v>852</v>
      </c>
      <c r="M78" s="451">
        <v>134400</v>
      </c>
      <c r="N78" s="452">
        <f t="shared" si="0"/>
        <v>134400</v>
      </c>
      <c r="O78" s="453" t="s">
        <v>101</v>
      </c>
      <c r="P78" s="454">
        <v>0</v>
      </c>
      <c r="Q78" s="455">
        <v>0</v>
      </c>
      <c r="R78" s="386">
        <v>0</v>
      </c>
      <c r="S78" s="386">
        <v>0</v>
      </c>
      <c r="T78" s="386">
        <f t="shared" si="3"/>
        <v>134400</v>
      </c>
      <c r="U78" s="456"/>
    </row>
    <row r="79" spans="1:21" ht="105">
      <c r="A79" s="444">
        <f t="shared" si="2"/>
        <v>66</v>
      </c>
      <c r="B79" s="445"/>
      <c r="C79" s="446"/>
      <c r="D79" s="446"/>
      <c r="E79" s="446"/>
      <c r="F79" s="446"/>
      <c r="G79" s="446"/>
      <c r="H79" s="446"/>
      <c r="I79" s="447" t="s">
        <v>998</v>
      </c>
      <c r="J79" s="448" t="s">
        <v>999</v>
      </c>
      <c r="K79" s="449" t="s">
        <v>862</v>
      </c>
      <c r="L79" s="450" t="s">
        <v>852</v>
      </c>
      <c r="M79" s="451">
        <v>134400</v>
      </c>
      <c r="N79" s="452">
        <f t="shared" si="0"/>
        <v>134400</v>
      </c>
      <c r="O79" s="453" t="s">
        <v>101</v>
      </c>
      <c r="P79" s="454">
        <v>0</v>
      </c>
      <c r="Q79" s="455">
        <v>0</v>
      </c>
      <c r="R79" s="386">
        <v>0</v>
      </c>
      <c r="S79" s="386">
        <v>0</v>
      </c>
      <c r="T79" s="386">
        <f t="shared" si="3"/>
        <v>134400</v>
      </c>
      <c r="U79" s="456"/>
    </row>
    <row r="80" spans="1:21" ht="105">
      <c r="A80" s="444">
        <f t="shared" ref="A80:A143" si="4">A79+1</f>
        <v>67</v>
      </c>
      <c r="B80" s="445"/>
      <c r="C80" s="446"/>
      <c r="D80" s="446"/>
      <c r="E80" s="446"/>
      <c r="F80" s="446"/>
      <c r="G80" s="446"/>
      <c r="H80" s="446"/>
      <c r="I80" s="447" t="s">
        <v>1000</v>
      </c>
      <c r="J80" s="448" t="s">
        <v>1001</v>
      </c>
      <c r="K80" s="449" t="s">
        <v>862</v>
      </c>
      <c r="L80" s="450" t="s">
        <v>852</v>
      </c>
      <c r="M80" s="451">
        <v>134400</v>
      </c>
      <c r="N80" s="452">
        <f t="shared" si="0"/>
        <v>134400</v>
      </c>
      <c r="O80" s="453" t="s">
        <v>101</v>
      </c>
      <c r="P80" s="454">
        <v>0</v>
      </c>
      <c r="Q80" s="455">
        <v>0</v>
      </c>
      <c r="R80" s="386">
        <v>0</v>
      </c>
      <c r="S80" s="386">
        <v>0</v>
      </c>
      <c r="T80" s="386">
        <f t="shared" si="3"/>
        <v>134400</v>
      </c>
      <c r="U80" s="456"/>
    </row>
    <row r="81" spans="1:21" ht="105">
      <c r="A81" s="444">
        <f t="shared" si="4"/>
        <v>68</v>
      </c>
      <c r="B81" s="445"/>
      <c r="C81" s="446"/>
      <c r="D81" s="446"/>
      <c r="E81" s="446"/>
      <c r="F81" s="446"/>
      <c r="G81" s="446"/>
      <c r="H81" s="446"/>
      <c r="I81" s="447" t="s">
        <v>1002</v>
      </c>
      <c r="J81" s="448" t="s">
        <v>1003</v>
      </c>
      <c r="K81" s="449" t="s">
        <v>862</v>
      </c>
      <c r="L81" s="450" t="s">
        <v>852</v>
      </c>
      <c r="M81" s="451">
        <v>134400</v>
      </c>
      <c r="N81" s="452">
        <f t="shared" si="0"/>
        <v>134400</v>
      </c>
      <c r="O81" s="453" t="s">
        <v>101</v>
      </c>
      <c r="P81" s="454">
        <v>0</v>
      </c>
      <c r="Q81" s="455">
        <v>0</v>
      </c>
      <c r="R81" s="386">
        <v>0</v>
      </c>
      <c r="S81" s="386">
        <v>0</v>
      </c>
      <c r="T81" s="386">
        <f t="shared" si="3"/>
        <v>134400</v>
      </c>
      <c r="U81" s="456"/>
    </row>
    <row r="82" spans="1:21" ht="105">
      <c r="A82" s="444">
        <f t="shared" si="4"/>
        <v>69</v>
      </c>
      <c r="B82" s="445"/>
      <c r="C82" s="446"/>
      <c r="D82" s="446"/>
      <c r="E82" s="446"/>
      <c r="F82" s="446"/>
      <c r="G82" s="446"/>
      <c r="H82" s="446"/>
      <c r="I82" s="447" t="s">
        <v>1004</v>
      </c>
      <c r="J82" s="448" t="s">
        <v>1005</v>
      </c>
      <c r="K82" s="449" t="s">
        <v>862</v>
      </c>
      <c r="L82" s="450" t="s">
        <v>852</v>
      </c>
      <c r="M82" s="451">
        <v>134400</v>
      </c>
      <c r="N82" s="452">
        <f t="shared" si="0"/>
        <v>134400</v>
      </c>
      <c r="O82" s="453" t="s">
        <v>101</v>
      </c>
      <c r="P82" s="454">
        <v>0</v>
      </c>
      <c r="Q82" s="455">
        <v>0</v>
      </c>
      <c r="R82" s="386">
        <v>0</v>
      </c>
      <c r="S82" s="386">
        <v>0</v>
      </c>
      <c r="T82" s="386">
        <f t="shared" si="3"/>
        <v>134400</v>
      </c>
      <c r="U82" s="456"/>
    </row>
    <row r="83" spans="1:21" ht="105">
      <c r="A83" s="444">
        <f t="shared" si="4"/>
        <v>70</v>
      </c>
      <c r="B83" s="445"/>
      <c r="C83" s="446"/>
      <c r="D83" s="446"/>
      <c r="E83" s="446"/>
      <c r="F83" s="446"/>
      <c r="G83" s="446"/>
      <c r="H83" s="446"/>
      <c r="I83" s="447" t="s">
        <v>1006</v>
      </c>
      <c r="J83" s="448" t="s">
        <v>1007</v>
      </c>
      <c r="K83" s="449" t="s">
        <v>862</v>
      </c>
      <c r="L83" s="450" t="s">
        <v>852</v>
      </c>
      <c r="M83" s="451">
        <v>134400</v>
      </c>
      <c r="N83" s="452">
        <f t="shared" si="0"/>
        <v>134400</v>
      </c>
      <c r="O83" s="453" t="s">
        <v>101</v>
      </c>
      <c r="P83" s="454">
        <v>0</v>
      </c>
      <c r="Q83" s="455">
        <v>0</v>
      </c>
      <c r="R83" s="386">
        <v>0</v>
      </c>
      <c r="S83" s="386">
        <v>0</v>
      </c>
      <c r="T83" s="386">
        <f t="shared" si="3"/>
        <v>134400</v>
      </c>
      <c r="U83" s="456"/>
    </row>
    <row r="84" spans="1:21" ht="105">
      <c r="A84" s="444">
        <f t="shared" si="4"/>
        <v>71</v>
      </c>
      <c r="B84" s="445"/>
      <c r="C84" s="446"/>
      <c r="D84" s="446"/>
      <c r="E84" s="446"/>
      <c r="F84" s="446"/>
      <c r="G84" s="446"/>
      <c r="H84" s="446"/>
      <c r="I84" s="447" t="s">
        <v>1008</v>
      </c>
      <c r="J84" s="448" t="s">
        <v>1009</v>
      </c>
      <c r="K84" s="449" t="s">
        <v>862</v>
      </c>
      <c r="L84" s="450" t="s">
        <v>852</v>
      </c>
      <c r="M84" s="451">
        <v>134400</v>
      </c>
      <c r="N84" s="452">
        <f t="shared" si="0"/>
        <v>134400</v>
      </c>
      <c r="O84" s="453" t="s">
        <v>101</v>
      </c>
      <c r="P84" s="454">
        <v>0</v>
      </c>
      <c r="Q84" s="455">
        <v>0</v>
      </c>
      <c r="R84" s="386">
        <v>0</v>
      </c>
      <c r="S84" s="386">
        <v>0</v>
      </c>
      <c r="T84" s="386">
        <f t="shared" si="3"/>
        <v>134400</v>
      </c>
      <c r="U84" s="456"/>
    </row>
    <row r="85" spans="1:21" ht="105">
      <c r="A85" s="444">
        <f t="shared" si="4"/>
        <v>72</v>
      </c>
      <c r="B85" s="445"/>
      <c r="C85" s="446"/>
      <c r="D85" s="446"/>
      <c r="E85" s="446"/>
      <c r="F85" s="446"/>
      <c r="G85" s="446"/>
      <c r="H85" s="446"/>
      <c r="I85" s="447" t="s">
        <v>1010</v>
      </c>
      <c r="J85" s="448" t="s">
        <v>1011</v>
      </c>
      <c r="K85" s="449" t="s">
        <v>862</v>
      </c>
      <c r="L85" s="450" t="s">
        <v>852</v>
      </c>
      <c r="M85" s="451">
        <v>156800</v>
      </c>
      <c r="N85" s="452">
        <f t="shared" si="0"/>
        <v>156800</v>
      </c>
      <c r="O85" s="453" t="s">
        <v>101</v>
      </c>
      <c r="P85" s="454">
        <v>0</v>
      </c>
      <c r="Q85" s="455">
        <v>0</v>
      </c>
      <c r="R85" s="386">
        <v>0</v>
      </c>
      <c r="S85" s="386">
        <v>0</v>
      </c>
      <c r="T85" s="386">
        <f t="shared" si="3"/>
        <v>156800</v>
      </c>
      <c r="U85" s="456"/>
    </row>
    <row r="86" spans="1:21" ht="105">
      <c r="A86" s="444">
        <f t="shared" si="4"/>
        <v>73</v>
      </c>
      <c r="B86" s="445"/>
      <c r="C86" s="446"/>
      <c r="D86" s="446"/>
      <c r="E86" s="446"/>
      <c r="F86" s="446"/>
      <c r="G86" s="446"/>
      <c r="H86" s="446"/>
      <c r="I86" s="447" t="s">
        <v>1012</v>
      </c>
      <c r="J86" s="448" t="s">
        <v>1013</v>
      </c>
      <c r="K86" s="449" t="s">
        <v>862</v>
      </c>
      <c r="L86" s="450" t="s">
        <v>852</v>
      </c>
      <c r="M86" s="451">
        <v>156800</v>
      </c>
      <c r="N86" s="452">
        <f>M86</f>
        <v>156800</v>
      </c>
      <c r="O86" s="453" t="s">
        <v>101</v>
      </c>
      <c r="P86" s="454">
        <v>0</v>
      </c>
      <c r="Q86" s="455">
        <v>0</v>
      </c>
      <c r="R86" s="386">
        <v>0</v>
      </c>
      <c r="S86" s="386">
        <v>0</v>
      </c>
      <c r="T86" s="386">
        <f t="shared" si="3"/>
        <v>156800</v>
      </c>
      <c r="U86" s="456"/>
    </row>
    <row r="87" spans="1:21" ht="105">
      <c r="A87" s="444">
        <f t="shared" si="4"/>
        <v>74</v>
      </c>
      <c r="B87" s="445"/>
      <c r="C87" s="446"/>
      <c r="D87" s="446"/>
      <c r="E87" s="446"/>
      <c r="F87" s="446"/>
      <c r="G87" s="446"/>
      <c r="H87" s="446"/>
      <c r="I87" s="447" t="s">
        <v>1014</v>
      </c>
      <c r="J87" s="448" t="s">
        <v>1015</v>
      </c>
      <c r="K87" s="449" t="s">
        <v>862</v>
      </c>
      <c r="L87" s="450" t="s">
        <v>852</v>
      </c>
      <c r="M87" s="451">
        <v>156800</v>
      </c>
      <c r="N87" s="452">
        <f>M87</f>
        <v>156800</v>
      </c>
      <c r="O87" s="453" t="s">
        <v>101</v>
      </c>
      <c r="P87" s="454">
        <v>0</v>
      </c>
      <c r="Q87" s="455">
        <v>0</v>
      </c>
      <c r="R87" s="386">
        <v>0</v>
      </c>
      <c r="S87" s="386">
        <v>0</v>
      </c>
      <c r="T87" s="386">
        <f t="shared" si="3"/>
        <v>156800</v>
      </c>
      <c r="U87" s="456"/>
    </row>
    <row r="88" spans="1:21" ht="105">
      <c r="A88" s="444">
        <f t="shared" si="4"/>
        <v>75</v>
      </c>
      <c r="B88" s="445"/>
      <c r="C88" s="446"/>
      <c r="D88" s="446"/>
      <c r="E88" s="446"/>
      <c r="F88" s="446"/>
      <c r="G88" s="446"/>
      <c r="H88" s="446"/>
      <c r="I88" s="447" t="s">
        <v>1016</v>
      </c>
      <c r="J88" s="448" t="s">
        <v>1017</v>
      </c>
      <c r="K88" s="449" t="s">
        <v>862</v>
      </c>
      <c r="L88" s="450" t="s">
        <v>852</v>
      </c>
      <c r="M88" s="451">
        <v>156800</v>
      </c>
      <c r="N88" s="452">
        <f>M88</f>
        <v>156800</v>
      </c>
      <c r="O88" s="453" t="s">
        <v>101</v>
      </c>
      <c r="P88" s="454">
        <v>0</v>
      </c>
      <c r="Q88" s="455">
        <v>0</v>
      </c>
      <c r="R88" s="386">
        <v>0</v>
      </c>
      <c r="S88" s="386">
        <v>0</v>
      </c>
      <c r="T88" s="386">
        <f t="shared" si="3"/>
        <v>156800</v>
      </c>
      <c r="U88" s="456"/>
    </row>
    <row r="89" spans="1:21" ht="105">
      <c r="A89" s="444">
        <f t="shared" si="4"/>
        <v>76</v>
      </c>
      <c r="B89" s="445"/>
      <c r="C89" s="446"/>
      <c r="D89" s="446"/>
      <c r="E89" s="446"/>
      <c r="F89" s="446"/>
      <c r="G89" s="446"/>
      <c r="H89" s="446"/>
      <c r="I89" s="447" t="s">
        <v>1018</v>
      </c>
      <c r="J89" s="448" t="s">
        <v>1019</v>
      </c>
      <c r="K89" s="449" t="s">
        <v>862</v>
      </c>
      <c r="L89" s="450" t="s">
        <v>852</v>
      </c>
      <c r="M89" s="451">
        <v>156800</v>
      </c>
      <c r="N89" s="452">
        <f>M89</f>
        <v>156800</v>
      </c>
      <c r="O89" s="453" t="s">
        <v>101</v>
      </c>
      <c r="P89" s="454">
        <v>0</v>
      </c>
      <c r="Q89" s="455">
        <v>0</v>
      </c>
      <c r="R89" s="386">
        <v>0</v>
      </c>
      <c r="S89" s="386">
        <v>0</v>
      </c>
      <c r="T89" s="386">
        <f t="shared" si="3"/>
        <v>156800</v>
      </c>
      <c r="U89" s="456"/>
    </row>
    <row r="90" spans="1:21" ht="105">
      <c r="A90" s="444">
        <f t="shared" si="4"/>
        <v>77</v>
      </c>
      <c r="B90" s="445"/>
      <c r="C90" s="446"/>
      <c r="D90" s="446"/>
      <c r="E90" s="446"/>
      <c r="F90" s="446"/>
      <c r="G90" s="446"/>
      <c r="H90" s="446"/>
      <c r="I90" s="447" t="s">
        <v>1020</v>
      </c>
      <c r="J90" s="448" t="s">
        <v>1021</v>
      </c>
      <c r="K90" s="449" t="s">
        <v>862</v>
      </c>
      <c r="L90" s="450" t="s">
        <v>852</v>
      </c>
      <c r="M90" s="451">
        <v>156800</v>
      </c>
      <c r="N90" s="452">
        <f>M90</f>
        <v>156800</v>
      </c>
      <c r="O90" s="453" t="s">
        <v>101</v>
      </c>
      <c r="P90" s="454">
        <v>0</v>
      </c>
      <c r="Q90" s="455">
        <v>0</v>
      </c>
      <c r="R90" s="386">
        <v>0</v>
      </c>
      <c r="S90" s="386">
        <v>0</v>
      </c>
      <c r="T90" s="386">
        <f t="shared" si="3"/>
        <v>156800</v>
      </c>
      <c r="U90" s="456"/>
    </row>
    <row r="91" spans="1:21" ht="105">
      <c r="A91" s="444">
        <f t="shared" si="4"/>
        <v>78</v>
      </c>
      <c r="B91" s="445"/>
      <c r="C91" s="446"/>
      <c r="D91" s="446"/>
      <c r="E91" s="446"/>
      <c r="F91" s="446"/>
      <c r="G91" s="446"/>
      <c r="H91" s="446"/>
      <c r="I91" s="447" t="s">
        <v>1022</v>
      </c>
      <c r="J91" s="448" t="s">
        <v>1023</v>
      </c>
      <c r="K91" s="449" t="s">
        <v>862</v>
      </c>
      <c r="L91" s="450" t="s">
        <v>852</v>
      </c>
      <c r="M91" s="451">
        <v>155100</v>
      </c>
      <c r="N91" s="452">
        <f t="shared" si="0"/>
        <v>155100</v>
      </c>
      <c r="O91" s="453" t="s">
        <v>101</v>
      </c>
      <c r="P91" s="454">
        <v>0</v>
      </c>
      <c r="Q91" s="455">
        <v>0</v>
      </c>
      <c r="R91" s="386">
        <v>0</v>
      </c>
      <c r="S91" s="386">
        <v>0</v>
      </c>
      <c r="T91" s="386">
        <f t="shared" si="3"/>
        <v>155100</v>
      </c>
      <c r="U91" s="456"/>
    </row>
    <row r="92" spans="1:21" ht="105">
      <c r="A92" s="444">
        <f t="shared" si="4"/>
        <v>79</v>
      </c>
      <c r="B92" s="445"/>
      <c r="C92" s="446"/>
      <c r="D92" s="446"/>
      <c r="E92" s="446"/>
      <c r="F92" s="446"/>
      <c r="G92" s="446"/>
      <c r="H92" s="446"/>
      <c r="I92" s="447" t="s">
        <v>1024</v>
      </c>
      <c r="J92" s="448" t="s">
        <v>1025</v>
      </c>
      <c r="K92" s="449" t="s">
        <v>862</v>
      </c>
      <c r="L92" s="450" t="s">
        <v>852</v>
      </c>
      <c r="M92" s="451">
        <v>155100</v>
      </c>
      <c r="N92" s="452">
        <f t="shared" si="0"/>
        <v>155100</v>
      </c>
      <c r="O92" s="453" t="s">
        <v>101</v>
      </c>
      <c r="P92" s="454">
        <v>0</v>
      </c>
      <c r="Q92" s="455">
        <v>0</v>
      </c>
      <c r="R92" s="386">
        <v>0</v>
      </c>
      <c r="S92" s="386">
        <v>0</v>
      </c>
      <c r="T92" s="386">
        <f t="shared" si="3"/>
        <v>155100</v>
      </c>
      <c r="U92" s="456"/>
    </row>
    <row r="93" spans="1:21" ht="105">
      <c r="A93" s="444">
        <f t="shared" si="4"/>
        <v>80</v>
      </c>
      <c r="B93" s="445"/>
      <c r="C93" s="446"/>
      <c r="D93" s="446"/>
      <c r="E93" s="446"/>
      <c r="F93" s="446"/>
      <c r="G93" s="446"/>
      <c r="H93" s="446"/>
      <c r="I93" s="447" t="s">
        <v>1026</v>
      </c>
      <c r="J93" s="448" t="s">
        <v>1027</v>
      </c>
      <c r="K93" s="449" t="s">
        <v>862</v>
      </c>
      <c r="L93" s="450" t="s">
        <v>852</v>
      </c>
      <c r="M93" s="451">
        <v>155100</v>
      </c>
      <c r="N93" s="452">
        <f t="shared" si="0"/>
        <v>155100</v>
      </c>
      <c r="O93" s="453" t="s">
        <v>101</v>
      </c>
      <c r="P93" s="454">
        <v>0</v>
      </c>
      <c r="Q93" s="455">
        <v>0</v>
      </c>
      <c r="R93" s="386">
        <v>0</v>
      </c>
      <c r="S93" s="386">
        <v>0</v>
      </c>
      <c r="T93" s="386">
        <f t="shared" si="3"/>
        <v>155100</v>
      </c>
      <c r="U93" s="456"/>
    </row>
    <row r="94" spans="1:21" ht="105">
      <c r="A94" s="444">
        <f t="shared" si="4"/>
        <v>81</v>
      </c>
      <c r="B94" s="445"/>
      <c r="C94" s="446"/>
      <c r="D94" s="446"/>
      <c r="E94" s="446"/>
      <c r="F94" s="446"/>
      <c r="G94" s="446"/>
      <c r="H94" s="446"/>
      <c r="I94" s="447" t="s">
        <v>1028</v>
      </c>
      <c r="J94" s="448" t="s">
        <v>1029</v>
      </c>
      <c r="K94" s="449" t="s">
        <v>862</v>
      </c>
      <c r="L94" s="450" t="s">
        <v>852</v>
      </c>
      <c r="M94" s="451">
        <v>155100</v>
      </c>
      <c r="N94" s="452">
        <f t="shared" si="0"/>
        <v>155100</v>
      </c>
      <c r="O94" s="453" t="s">
        <v>101</v>
      </c>
      <c r="P94" s="454">
        <v>0</v>
      </c>
      <c r="Q94" s="455">
        <v>0</v>
      </c>
      <c r="R94" s="386">
        <v>0</v>
      </c>
      <c r="S94" s="386">
        <v>0</v>
      </c>
      <c r="T94" s="386">
        <f t="shared" si="3"/>
        <v>155100</v>
      </c>
      <c r="U94" s="456"/>
    </row>
    <row r="95" spans="1:21" ht="105">
      <c r="A95" s="444">
        <f t="shared" si="4"/>
        <v>82</v>
      </c>
      <c r="B95" s="445"/>
      <c r="C95" s="446"/>
      <c r="D95" s="446"/>
      <c r="E95" s="446"/>
      <c r="F95" s="446"/>
      <c r="G95" s="446"/>
      <c r="H95" s="446"/>
      <c r="I95" s="447" t="s">
        <v>1030</v>
      </c>
      <c r="J95" s="448" t="s">
        <v>1031</v>
      </c>
      <c r="K95" s="449" t="s">
        <v>862</v>
      </c>
      <c r="L95" s="450" t="s">
        <v>852</v>
      </c>
      <c r="M95" s="451">
        <v>155100</v>
      </c>
      <c r="N95" s="452">
        <f t="shared" si="0"/>
        <v>155100</v>
      </c>
      <c r="O95" s="453" t="s">
        <v>101</v>
      </c>
      <c r="P95" s="454">
        <v>0</v>
      </c>
      <c r="Q95" s="455">
        <v>0</v>
      </c>
      <c r="R95" s="386">
        <v>0</v>
      </c>
      <c r="S95" s="386">
        <v>0</v>
      </c>
      <c r="T95" s="386">
        <f t="shared" si="3"/>
        <v>155100</v>
      </c>
      <c r="U95" s="456"/>
    </row>
    <row r="96" spans="1:21" ht="120">
      <c r="A96" s="444">
        <f t="shared" si="4"/>
        <v>83</v>
      </c>
      <c r="B96" s="445"/>
      <c r="C96" s="446"/>
      <c r="D96" s="446"/>
      <c r="E96" s="446"/>
      <c r="F96" s="446"/>
      <c r="G96" s="446"/>
      <c r="H96" s="446"/>
      <c r="I96" s="447" t="s">
        <v>1032</v>
      </c>
      <c r="J96" s="448" t="s">
        <v>1033</v>
      </c>
      <c r="K96" s="449" t="s">
        <v>862</v>
      </c>
      <c r="L96" s="450" t="s">
        <v>852</v>
      </c>
      <c r="M96" s="451">
        <v>155100</v>
      </c>
      <c r="N96" s="452">
        <f t="shared" si="0"/>
        <v>155100</v>
      </c>
      <c r="O96" s="453" t="s">
        <v>101</v>
      </c>
      <c r="P96" s="454">
        <v>0</v>
      </c>
      <c r="Q96" s="455">
        <v>0</v>
      </c>
      <c r="R96" s="386">
        <v>0</v>
      </c>
      <c r="S96" s="386">
        <v>0</v>
      </c>
      <c r="T96" s="386">
        <f t="shared" si="3"/>
        <v>155100</v>
      </c>
      <c r="U96" s="456"/>
    </row>
    <row r="97" spans="1:21" ht="105">
      <c r="A97" s="444">
        <f t="shared" si="4"/>
        <v>84</v>
      </c>
      <c r="B97" s="445"/>
      <c r="C97" s="446"/>
      <c r="D97" s="446"/>
      <c r="E97" s="446"/>
      <c r="F97" s="446"/>
      <c r="G97" s="446"/>
      <c r="H97" s="446"/>
      <c r="I97" s="447" t="s">
        <v>1034</v>
      </c>
      <c r="J97" s="448" t="s">
        <v>1035</v>
      </c>
      <c r="K97" s="449" t="s">
        <v>862</v>
      </c>
      <c r="L97" s="450" t="s">
        <v>852</v>
      </c>
      <c r="M97" s="451">
        <v>155100</v>
      </c>
      <c r="N97" s="452">
        <f t="shared" si="0"/>
        <v>155100</v>
      </c>
      <c r="O97" s="453" t="s">
        <v>101</v>
      </c>
      <c r="P97" s="454">
        <v>0</v>
      </c>
      <c r="Q97" s="455">
        <v>0</v>
      </c>
      <c r="R97" s="386">
        <v>0</v>
      </c>
      <c r="S97" s="386">
        <v>0</v>
      </c>
      <c r="T97" s="386">
        <f t="shared" si="3"/>
        <v>155100</v>
      </c>
      <c r="U97" s="456"/>
    </row>
    <row r="98" spans="1:21" ht="105">
      <c r="A98" s="444">
        <f t="shared" si="4"/>
        <v>85</v>
      </c>
      <c r="B98" s="445"/>
      <c r="C98" s="446"/>
      <c r="D98" s="446"/>
      <c r="E98" s="446"/>
      <c r="F98" s="446"/>
      <c r="G98" s="446"/>
      <c r="H98" s="446"/>
      <c r="I98" s="447" t="s">
        <v>1036</v>
      </c>
      <c r="J98" s="448" t="s">
        <v>1037</v>
      </c>
      <c r="K98" s="449" t="s">
        <v>862</v>
      </c>
      <c r="L98" s="450" t="s">
        <v>852</v>
      </c>
      <c r="M98" s="451">
        <v>155100</v>
      </c>
      <c r="N98" s="452">
        <f t="shared" si="0"/>
        <v>155100</v>
      </c>
      <c r="O98" s="453" t="s">
        <v>101</v>
      </c>
      <c r="P98" s="454">
        <v>0</v>
      </c>
      <c r="Q98" s="455">
        <v>0</v>
      </c>
      <c r="R98" s="386">
        <v>0</v>
      </c>
      <c r="S98" s="386">
        <v>0</v>
      </c>
      <c r="T98" s="386">
        <f t="shared" si="3"/>
        <v>155100</v>
      </c>
      <c r="U98" s="456"/>
    </row>
    <row r="99" spans="1:21" ht="105">
      <c r="A99" s="444">
        <f t="shared" si="4"/>
        <v>86</v>
      </c>
      <c r="B99" s="445"/>
      <c r="C99" s="446"/>
      <c r="D99" s="446"/>
      <c r="E99" s="446"/>
      <c r="F99" s="446"/>
      <c r="G99" s="446"/>
      <c r="H99" s="446"/>
      <c r="I99" s="447" t="s">
        <v>1038</v>
      </c>
      <c r="J99" s="448" t="s">
        <v>1039</v>
      </c>
      <c r="K99" s="449" t="s">
        <v>862</v>
      </c>
      <c r="L99" s="450" t="s">
        <v>852</v>
      </c>
      <c r="M99" s="451">
        <v>155100</v>
      </c>
      <c r="N99" s="452">
        <f t="shared" si="0"/>
        <v>155100</v>
      </c>
      <c r="O99" s="453" t="s">
        <v>101</v>
      </c>
      <c r="P99" s="454">
        <v>0</v>
      </c>
      <c r="Q99" s="455">
        <v>0</v>
      </c>
      <c r="R99" s="386">
        <v>0</v>
      </c>
      <c r="S99" s="386">
        <v>0</v>
      </c>
      <c r="T99" s="386">
        <f t="shared" si="3"/>
        <v>155100</v>
      </c>
      <c r="U99" s="456"/>
    </row>
    <row r="100" spans="1:21" ht="105">
      <c r="A100" s="444">
        <f t="shared" si="4"/>
        <v>87</v>
      </c>
      <c r="B100" s="445"/>
      <c r="C100" s="446"/>
      <c r="D100" s="446"/>
      <c r="E100" s="446"/>
      <c r="F100" s="446"/>
      <c r="G100" s="446"/>
      <c r="H100" s="446"/>
      <c r="I100" s="447" t="s">
        <v>1040</v>
      </c>
      <c r="J100" s="448" t="s">
        <v>1041</v>
      </c>
      <c r="K100" s="449" t="s">
        <v>862</v>
      </c>
      <c r="L100" s="450" t="s">
        <v>852</v>
      </c>
      <c r="M100" s="451">
        <v>155100</v>
      </c>
      <c r="N100" s="452">
        <f t="shared" si="0"/>
        <v>155100</v>
      </c>
      <c r="O100" s="453" t="s">
        <v>101</v>
      </c>
      <c r="P100" s="454">
        <v>0</v>
      </c>
      <c r="Q100" s="455">
        <v>0</v>
      </c>
      <c r="R100" s="386">
        <v>0</v>
      </c>
      <c r="S100" s="386">
        <v>0</v>
      </c>
      <c r="T100" s="386">
        <f t="shared" si="3"/>
        <v>155100</v>
      </c>
      <c r="U100" s="456"/>
    </row>
    <row r="101" spans="1:21" ht="105">
      <c r="A101" s="444">
        <f t="shared" si="4"/>
        <v>88</v>
      </c>
      <c r="B101" s="445"/>
      <c r="C101" s="446"/>
      <c r="D101" s="446"/>
      <c r="E101" s="446"/>
      <c r="F101" s="446"/>
      <c r="G101" s="446"/>
      <c r="H101" s="446"/>
      <c r="I101" s="447" t="s">
        <v>1042</v>
      </c>
      <c r="J101" s="448" t="s">
        <v>1043</v>
      </c>
      <c r="K101" s="449" t="s">
        <v>862</v>
      </c>
      <c r="L101" s="450" t="s">
        <v>852</v>
      </c>
      <c r="M101" s="451">
        <v>155100</v>
      </c>
      <c r="N101" s="452">
        <f t="shared" si="0"/>
        <v>155100</v>
      </c>
      <c r="O101" s="453" t="s">
        <v>101</v>
      </c>
      <c r="P101" s="454">
        <v>0</v>
      </c>
      <c r="Q101" s="455">
        <v>0</v>
      </c>
      <c r="R101" s="386">
        <v>0</v>
      </c>
      <c r="S101" s="386">
        <v>0</v>
      </c>
      <c r="T101" s="386">
        <f t="shared" si="3"/>
        <v>155100</v>
      </c>
      <c r="U101" s="456"/>
    </row>
    <row r="102" spans="1:21" ht="105">
      <c r="A102" s="444">
        <f t="shared" si="4"/>
        <v>89</v>
      </c>
      <c r="B102" s="445"/>
      <c r="C102" s="446"/>
      <c r="D102" s="446"/>
      <c r="E102" s="446"/>
      <c r="F102" s="446"/>
      <c r="G102" s="446"/>
      <c r="H102" s="446"/>
      <c r="I102" s="447" t="s">
        <v>1044</v>
      </c>
      <c r="J102" s="448" t="s">
        <v>1045</v>
      </c>
      <c r="K102" s="449" t="s">
        <v>862</v>
      </c>
      <c r="L102" s="450" t="s">
        <v>852</v>
      </c>
      <c r="M102" s="451">
        <v>155100</v>
      </c>
      <c r="N102" s="452">
        <f t="shared" si="0"/>
        <v>155100</v>
      </c>
      <c r="O102" s="453" t="s">
        <v>101</v>
      </c>
      <c r="P102" s="454">
        <v>0</v>
      </c>
      <c r="Q102" s="455">
        <v>0</v>
      </c>
      <c r="R102" s="386">
        <v>0</v>
      </c>
      <c r="S102" s="386">
        <v>0</v>
      </c>
      <c r="T102" s="386">
        <f t="shared" si="3"/>
        <v>155100</v>
      </c>
      <c r="U102" s="456"/>
    </row>
    <row r="103" spans="1:21" ht="105">
      <c r="A103" s="444">
        <f t="shared" si="4"/>
        <v>90</v>
      </c>
      <c r="B103" s="445"/>
      <c r="C103" s="446"/>
      <c r="D103" s="446"/>
      <c r="E103" s="446"/>
      <c r="F103" s="446"/>
      <c r="G103" s="446"/>
      <c r="H103" s="446"/>
      <c r="I103" s="447" t="s">
        <v>1046</v>
      </c>
      <c r="J103" s="448" t="s">
        <v>1047</v>
      </c>
      <c r="K103" s="449" t="s">
        <v>862</v>
      </c>
      <c r="L103" s="450" t="s">
        <v>852</v>
      </c>
      <c r="M103" s="451">
        <v>155100</v>
      </c>
      <c r="N103" s="452">
        <f t="shared" si="0"/>
        <v>155100</v>
      </c>
      <c r="O103" s="453" t="s">
        <v>101</v>
      </c>
      <c r="P103" s="454">
        <v>0</v>
      </c>
      <c r="Q103" s="455">
        <v>0</v>
      </c>
      <c r="R103" s="386">
        <v>0</v>
      </c>
      <c r="S103" s="386">
        <v>0</v>
      </c>
      <c r="T103" s="386">
        <f t="shared" si="3"/>
        <v>155100</v>
      </c>
      <c r="U103" s="456"/>
    </row>
    <row r="104" spans="1:21" ht="45">
      <c r="A104" s="444">
        <f t="shared" si="4"/>
        <v>91</v>
      </c>
      <c r="B104" s="445"/>
      <c r="C104" s="446"/>
      <c r="D104" s="446"/>
      <c r="E104" s="446"/>
      <c r="F104" s="446"/>
      <c r="G104" s="446"/>
      <c r="H104" s="446"/>
      <c r="I104" s="447" t="s">
        <v>1048</v>
      </c>
      <c r="J104" s="448" t="s">
        <v>1049</v>
      </c>
      <c r="K104" s="449" t="s">
        <v>901</v>
      </c>
      <c r="L104" s="450" t="s">
        <v>852</v>
      </c>
      <c r="M104" s="451">
        <v>240000</v>
      </c>
      <c r="N104" s="452">
        <f t="shared" si="0"/>
        <v>240000</v>
      </c>
      <c r="O104" s="453" t="s">
        <v>101</v>
      </c>
      <c r="P104" s="454">
        <v>0</v>
      </c>
      <c r="Q104" s="455">
        <v>0</v>
      </c>
      <c r="R104" s="386">
        <v>0</v>
      </c>
      <c r="S104" s="386">
        <v>0</v>
      </c>
      <c r="T104" s="386">
        <f t="shared" si="3"/>
        <v>240000</v>
      </c>
      <c r="U104" s="456"/>
    </row>
    <row r="105" spans="1:21" ht="75">
      <c r="A105" s="444">
        <f t="shared" si="4"/>
        <v>92</v>
      </c>
      <c r="B105" s="445"/>
      <c r="C105" s="446"/>
      <c r="D105" s="446"/>
      <c r="E105" s="446"/>
      <c r="F105" s="446"/>
      <c r="G105" s="446"/>
      <c r="H105" s="446"/>
      <c r="I105" s="447" t="s">
        <v>1050</v>
      </c>
      <c r="J105" s="448" t="s">
        <v>1051</v>
      </c>
      <c r="K105" s="449" t="s">
        <v>901</v>
      </c>
      <c r="L105" s="450" t="s">
        <v>852</v>
      </c>
      <c r="M105" s="451">
        <v>420000</v>
      </c>
      <c r="N105" s="452">
        <f t="shared" si="0"/>
        <v>420000</v>
      </c>
      <c r="O105" s="453" t="s">
        <v>101</v>
      </c>
      <c r="P105" s="454">
        <v>0</v>
      </c>
      <c r="Q105" s="455">
        <v>0</v>
      </c>
      <c r="R105" s="386">
        <v>0</v>
      </c>
      <c r="S105" s="386">
        <v>0</v>
      </c>
      <c r="T105" s="386">
        <f t="shared" si="3"/>
        <v>420000</v>
      </c>
      <c r="U105" s="456"/>
    </row>
    <row r="106" spans="1:21" ht="60">
      <c r="A106" s="444">
        <f t="shared" si="4"/>
        <v>93</v>
      </c>
      <c r="B106" s="445"/>
      <c r="C106" s="446"/>
      <c r="D106" s="446"/>
      <c r="E106" s="446"/>
      <c r="F106" s="446"/>
      <c r="G106" s="446"/>
      <c r="H106" s="446"/>
      <c r="I106" s="447" t="s">
        <v>1052</v>
      </c>
      <c r="J106" s="448" t="s">
        <v>1053</v>
      </c>
      <c r="K106" s="449" t="s">
        <v>851</v>
      </c>
      <c r="L106" s="450" t="s">
        <v>852</v>
      </c>
      <c r="M106" s="451">
        <v>2640000</v>
      </c>
      <c r="N106" s="452">
        <f t="shared" si="0"/>
        <v>2640000</v>
      </c>
      <c r="O106" s="453" t="s">
        <v>101</v>
      </c>
      <c r="P106" s="454">
        <v>0</v>
      </c>
      <c r="Q106" s="455">
        <v>0</v>
      </c>
      <c r="R106" s="386">
        <v>0</v>
      </c>
      <c r="S106" s="386">
        <v>0</v>
      </c>
      <c r="T106" s="386">
        <f t="shared" si="3"/>
        <v>2640000</v>
      </c>
      <c r="U106" s="456"/>
    </row>
    <row r="107" spans="1:21" ht="90">
      <c r="A107" s="444">
        <f t="shared" si="4"/>
        <v>94</v>
      </c>
      <c r="B107" s="445"/>
      <c r="C107" s="446"/>
      <c r="D107" s="446"/>
      <c r="E107" s="446"/>
      <c r="F107" s="446"/>
      <c r="G107" s="446"/>
      <c r="H107" s="446"/>
      <c r="I107" s="447" t="s">
        <v>1054</v>
      </c>
      <c r="J107" s="448" t="s">
        <v>1055</v>
      </c>
      <c r="K107" s="449" t="s">
        <v>1056</v>
      </c>
      <c r="L107" s="450" t="s">
        <v>852</v>
      </c>
      <c r="M107" s="451">
        <v>360000</v>
      </c>
      <c r="N107" s="452">
        <f t="shared" si="0"/>
        <v>360000</v>
      </c>
      <c r="O107" s="453" t="s">
        <v>101</v>
      </c>
      <c r="P107" s="454">
        <v>0</v>
      </c>
      <c r="Q107" s="455">
        <v>0</v>
      </c>
      <c r="R107" s="386">
        <v>0</v>
      </c>
      <c r="S107" s="386">
        <v>0</v>
      </c>
      <c r="T107" s="386">
        <f t="shared" si="3"/>
        <v>360000</v>
      </c>
      <c r="U107" s="456"/>
    </row>
    <row r="108" spans="1:21" ht="105">
      <c r="A108" s="444">
        <f t="shared" si="4"/>
        <v>95</v>
      </c>
      <c r="B108" s="445"/>
      <c r="C108" s="446"/>
      <c r="D108" s="446"/>
      <c r="E108" s="446"/>
      <c r="F108" s="446"/>
      <c r="G108" s="446"/>
      <c r="H108" s="446"/>
      <c r="I108" s="447" t="s">
        <v>1057</v>
      </c>
      <c r="J108" s="448" t="s">
        <v>1058</v>
      </c>
      <c r="K108" s="449" t="s">
        <v>862</v>
      </c>
      <c r="L108" s="450" t="s">
        <v>852</v>
      </c>
      <c r="M108" s="451">
        <v>100800</v>
      </c>
      <c r="N108" s="452">
        <f t="shared" si="0"/>
        <v>100800</v>
      </c>
      <c r="O108" s="453" t="s">
        <v>101</v>
      </c>
      <c r="P108" s="454">
        <v>0</v>
      </c>
      <c r="Q108" s="455">
        <v>0</v>
      </c>
      <c r="R108" s="386">
        <v>0</v>
      </c>
      <c r="S108" s="386">
        <v>0</v>
      </c>
      <c r="T108" s="386">
        <f t="shared" si="3"/>
        <v>100800</v>
      </c>
      <c r="U108" s="456"/>
    </row>
    <row r="109" spans="1:21" ht="105">
      <c r="A109" s="444">
        <f t="shared" si="4"/>
        <v>96</v>
      </c>
      <c r="B109" s="445"/>
      <c r="C109" s="446"/>
      <c r="D109" s="446"/>
      <c r="E109" s="446"/>
      <c r="F109" s="446"/>
      <c r="G109" s="446"/>
      <c r="H109" s="446"/>
      <c r="I109" s="447" t="s">
        <v>1059</v>
      </c>
      <c r="J109" s="448" t="s">
        <v>1060</v>
      </c>
      <c r="K109" s="449" t="s">
        <v>862</v>
      </c>
      <c r="L109" s="450" t="s">
        <v>852</v>
      </c>
      <c r="M109" s="451">
        <v>100800</v>
      </c>
      <c r="N109" s="452">
        <f>M109</f>
        <v>100800</v>
      </c>
      <c r="O109" s="453" t="s">
        <v>101</v>
      </c>
      <c r="P109" s="454">
        <v>0</v>
      </c>
      <c r="Q109" s="455">
        <v>0</v>
      </c>
      <c r="R109" s="386">
        <v>0</v>
      </c>
      <c r="S109" s="386">
        <v>0</v>
      </c>
      <c r="T109" s="386">
        <f t="shared" si="3"/>
        <v>100800</v>
      </c>
      <c r="U109" s="456"/>
    </row>
    <row r="110" spans="1:21" ht="105">
      <c r="A110" s="444">
        <f t="shared" si="4"/>
        <v>97</v>
      </c>
      <c r="B110" s="445"/>
      <c r="C110" s="446"/>
      <c r="D110" s="446"/>
      <c r="E110" s="446"/>
      <c r="F110" s="446"/>
      <c r="G110" s="446"/>
      <c r="H110" s="446"/>
      <c r="I110" s="447" t="s">
        <v>1061</v>
      </c>
      <c r="J110" s="448" t="s">
        <v>1062</v>
      </c>
      <c r="K110" s="449" t="s">
        <v>862</v>
      </c>
      <c r="L110" s="450" t="s">
        <v>852</v>
      </c>
      <c r="M110" s="451">
        <v>100800</v>
      </c>
      <c r="N110" s="452">
        <f>M110</f>
        <v>100800</v>
      </c>
      <c r="O110" s="453" t="s">
        <v>101</v>
      </c>
      <c r="P110" s="454">
        <v>0</v>
      </c>
      <c r="Q110" s="455">
        <v>0</v>
      </c>
      <c r="R110" s="386">
        <v>0</v>
      </c>
      <c r="S110" s="386">
        <v>0</v>
      </c>
      <c r="T110" s="386">
        <f t="shared" si="3"/>
        <v>100800</v>
      </c>
      <c r="U110" s="456"/>
    </row>
    <row r="111" spans="1:21" ht="105">
      <c r="A111" s="444">
        <f t="shared" si="4"/>
        <v>98</v>
      </c>
      <c r="B111" s="445"/>
      <c r="C111" s="446"/>
      <c r="D111" s="446"/>
      <c r="E111" s="446"/>
      <c r="F111" s="446"/>
      <c r="G111" s="446"/>
      <c r="H111" s="446"/>
      <c r="I111" s="447" t="s">
        <v>1063</v>
      </c>
      <c r="J111" s="448" t="s">
        <v>1064</v>
      </c>
      <c r="K111" s="449" t="s">
        <v>862</v>
      </c>
      <c r="L111" s="450" t="s">
        <v>852</v>
      </c>
      <c r="M111" s="451">
        <v>100800</v>
      </c>
      <c r="N111" s="452">
        <f>M111</f>
        <v>100800</v>
      </c>
      <c r="O111" s="453" t="s">
        <v>101</v>
      </c>
      <c r="P111" s="454">
        <v>0</v>
      </c>
      <c r="Q111" s="455">
        <v>0</v>
      </c>
      <c r="R111" s="386">
        <v>0</v>
      </c>
      <c r="S111" s="386">
        <v>0</v>
      </c>
      <c r="T111" s="386">
        <f t="shared" si="3"/>
        <v>100800</v>
      </c>
      <c r="U111" s="456"/>
    </row>
    <row r="112" spans="1:21" ht="75">
      <c r="A112" s="444">
        <f t="shared" si="4"/>
        <v>99</v>
      </c>
      <c r="B112" s="445"/>
      <c r="C112" s="446"/>
      <c r="D112" s="446"/>
      <c r="E112" s="446"/>
      <c r="F112" s="446"/>
      <c r="G112" s="446"/>
      <c r="H112" s="446"/>
      <c r="I112" s="447" t="s">
        <v>1065</v>
      </c>
      <c r="J112" s="448" t="s">
        <v>1066</v>
      </c>
      <c r="K112" s="449" t="s">
        <v>901</v>
      </c>
      <c r="L112" s="450" t="s">
        <v>852</v>
      </c>
      <c r="M112" s="451">
        <v>420000</v>
      </c>
      <c r="N112" s="452">
        <f t="shared" si="0"/>
        <v>420000</v>
      </c>
      <c r="O112" s="453" t="s">
        <v>101</v>
      </c>
      <c r="P112" s="454">
        <v>0</v>
      </c>
      <c r="Q112" s="455">
        <v>0</v>
      </c>
      <c r="R112" s="386">
        <v>0</v>
      </c>
      <c r="S112" s="386">
        <v>0</v>
      </c>
      <c r="T112" s="386">
        <f t="shared" si="3"/>
        <v>420000</v>
      </c>
      <c r="U112" s="456"/>
    </row>
    <row r="113" spans="1:21" ht="120">
      <c r="A113" s="444">
        <f t="shared" si="4"/>
        <v>100</v>
      </c>
      <c r="B113" s="445"/>
      <c r="C113" s="446"/>
      <c r="D113" s="446"/>
      <c r="E113" s="446"/>
      <c r="F113" s="446"/>
      <c r="G113" s="446"/>
      <c r="H113" s="446"/>
      <c r="I113" s="447" t="s">
        <v>1067</v>
      </c>
      <c r="J113" s="448" t="s">
        <v>1068</v>
      </c>
      <c r="K113" s="449" t="s">
        <v>862</v>
      </c>
      <c r="L113" s="450" t="s">
        <v>852</v>
      </c>
      <c r="M113" s="451">
        <v>112000</v>
      </c>
      <c r="N113" s="452">
        <f t="shared" si="0"/>
        <v>112000</v>
      </c>
      <c r="O113" s="453" t="s">
        <v>101</v>
      </c>
      <c r="P113" s="454">
        <v>0</v>
      </c>
      <c r="Q113" s="455">
        <v>0</v>
      </c>
      <c r="R113" s="386">
        <v>0</v>
      </c>
      <c r="S113" s="386">
        <v>0</v>
      </c>
      <c r="T113" s="386">
        <f t="shared" si="3"/>
        <v>112000</v>
      </c>
      <c r="U113" s="456"/>
    </row>
    <row r="114" spans="1:21" ht="105">
      <c r="A114" s="444">
        <f t="shared" si="4"/>
        <v>101</v>
      </c>
      <c r="B114" s="445"/>
      <c r="C114" s="446"/>
      <c r="D114" s="446"/>
      <c r="E114" s="446"/>
      <c r="F114" s="446"/>
      <c r="G114" s="446"/>
      <c r="H114" s="446"/>
      <c r="I114" s="447" t="s">
        <v>1069</v>
      </c>
      <c r="J114" s="448" t="s">
        <v>1070</v>
      </c>
      <c r="K114" s="449" t="s">
        <v>862</v>
      </c>
      <c r="L114" s="450" t="s">
        <v>852</v>
      </c>
      <c r="M114" s="451">
        <v>112000</v>
      </c>
      <c r="N114" s="452">
        <f>M114</f>
        <v>112000</v>
      </c>
      <c r="O114" s="453" t="s">
        <v>101</v>
      </c>
      <c r="P114" s="454">
        <v>0</v>
      </c>
      <c r="Q114" s="455">
        <v>0</v>
      </c>
      <c r="R114" s="386">
        <v>0</v>
      </c>
      <c r="S114" s="386">
        <v>0</v>
      </c>
      <c r="T114" s="386">
        <f t="shared" si="3"/>
        <v>112000</v>
      </c>
      <c r="U114" s="456"/>
    </row>
    <row r="115" spans="1:21" ht="105">
      <c r="A115" s="444">
        <f t="shared" si="4"/>
        <v>102</v>
      </c>
      <c r="B115" s="445"/>
      <c r="C115" s="446"/>
      <c r="D115" s="446"/>
      <c r="E115" s="446"/>
      <c r="F115" s="446"/>
      <c r="G115" s="446"/>
      <c r="H115" s="446"/>
      <c r="I115" s="447" t="s">
        <v>1071</v>
      </c>
      <c r="J115" s="448" t="s">
        <v>1072</v>
      </c>
      <c r="K115" s="449" t="s">
        <v>862</v>
      </c>
      <c r="L115" s="450" t="s">
        <v>852</v>
      </c>
      <c r="M115" s="451">
        <v>112000</v>
      </c>
      <c r="N115" s="452">
        <f>M115</f>
        <v>112000</v>
      </c>
      <c r="O115" s="453" t="s">
        <v>101</v>
      </c>
      <c r="P115" s="454">
        <v>0</v>
      </c>
      <c r="Q115" s="455">
        <v>0</v>
      </c>
      <c r="R115" s="386">
        <v>0</v>
      </c>
      <c r="S115" s="386">
        <v>0</v>
      </c>
      <c r="T115" s="386">
        <f t="shared" si="3"/>
        <v>112000</v>
      </c>
      <c r="U115" s="456"/>
    </row>
    <row r="116" spans="1:21" ht="105">
      <c r="A116" s="444">
        <f t="shared" si="4"/>
        <v>103</v>
      </c>
      <c r="B116" s="445"/>
      <c r="C116" s="446"/>
      <c r="D116" s="446"/>
      <c r="E116" s="446"/>
      <c r="F116" s="446"/>
      <c r="G116" s="446"/>
      <c r="H116" s="446"/>
      <c r="I116" s="447" t="s">
        <v>1073</v>
      </c>
      <c r="J116" s="448" t="s">
        <v>1074</v>
      </c>
      <c r="K116" s="449" t="s">
        <v>862</v>
      </c>
      <c r="L116" s="450" t="s">
        <v>852</v>
      </c>
      <c r="M116" s="451">
        <v>112000</v>
      </c>
      <c r="N116" s="452">
        <f>M116</f>
        <v>112000</v>
      </c>
      <c r="O116" s="453" t="s">
        <v>101</v>
      </c>
      <c r="P116" s="454">
        <v>0</v>
      </c>
      <c r="Q116" s="455">
        <v>0</v>
      </c>
      <c r="R116" s="386">
        <v>0</v>
      </c>
      <c r="S116" s="386">
        <v>0</v>
      </c>
      <c r="T116" s="386">
        <f t="shared" si="3"/>
        <v>112000</v>
      </c>
      <c r="U116" s="456"/>
    </row>
    <row r="117" spans="1:21" ht="90">
      <c r="A117" s="444">
        <f t="shared" si="4"/>
        <v>104</v>
      </c>
      <c r="B117" s="445"/>
      <c r="C117" s="446"/>
      <c r="D117" s="446"/>
      <c r="E117" s="446"/>
      <c r="F117" s="446"/>
      <c r="G117" s="446"/>
      <c r="H117" s="446"/>
      <c r="I117" s="447" t="s">
        <v>1075</v>
      </c>
      <c r="J117" s="448" t="s">
        <v>1076</v>
      </c>
      <c r="K117" s="449" t="s">
        <v>851</v>
      </c>
      <c r="L117" s="450" t="s">
        <v>852</v>
      </c>
      <c r="M117" s="451">
        <v>180000</v>
      </c>
      <c r="N117" s="452">
        <f t="shared" si="0"/>
        <v>180000</v>
      </c>
      <c r="O117" s="453" t="s">
        <v>101</v>
      </c>
      <c r="P117" s="454">
        <v>0</v>
      </c>
      <c r="Q117" s="455">
        <v>0</v>
      </c>
      <c r="R117" s="386">
        <v>0</v>
      </c>
      <c r="S117" s="386">
        <v>0</v>
      </c>
      <c r="T117" s="386">
        <f t="shared" si="3"/>
        <v>180000</v>
      </c>
      <c r="U117" s="456"/>
    </row>
    <row r="118" spans="1:21" ht="45">
      <c r="A118" s="444">
        <f t="shared" si="4"/>
        <v>105</v>
      </c>
      <c r="B118" s="445"/>
      <c r="C118" s="446"/>
      <c r="D118" s="446"/>
      <c r="E118" s="446"/>
      <c r="F118" s="446"/>
      <c r="G118" s="446"/>
      <c r="H118" s="446"/>
      <c r="I118" s="447" t="s">
        <v>1077</v>
      </c>
      <c r="J118" s="448" t="s">
        <v>1078</v>
      </c>
      <c r="K118" s="449" t="s">
        <v>851</v>
      </c>
      <c r="L118" s="450" t="s">
        <v>852</v>
      </c>
      <c r="M118" s="451">
        <v>1800000</v>
      </c>
      <c r="N118" s="452">
        <f t="shared" ref="N118:N188" si="5">M118</f>
        <v>1800000</v>
      </c>
      <c r="O118" s="453" t="s">
        <v>101</v>
      </c>
      <c r="P118" s="454">
        <v>0</v>
      </c>
      <c r="Q118" s="455">
        <v>0</v>
      </c>
      <c r="R118" s="386">
        <v>0</v>
      </c>
      <c r="S118" s="386">
        <v>0</v>
      </c>
      <c r="T118" s="386">
        <f t="shared" si="3"/>
        <v>1800000</v>
      </c>
      <c r="U118" s="456"/>
    </row>
    <row r="119" spans="1:21" ht="45">
      <c r="A119" s="444">
        <f t="shared" si="4"/>
        <v>106</v>
      </c>
      <c r="B119" s="445"/>
      <c r="C119" s="446"/>
      <c r="D119" s="446"/>
      <c r="E119" s="446"/>
      <c r="F119" s="446"/>
      <c r="G119" s="446"/>
      <c r="H119" s="446"/>
      <c r="I119" s="447" t="s">
        <v>1079</v>
      </c>
      <c r="J119" s="448" t="s">
        <v>1080</v>
      </c>
      <c r="K119" s="449" t="s">
        <v>851</v>
      </c>
      <c r="L119" s="450" t="s">
        <v>852</v>
      </c>
      <c r="M119" s="451">
        <v>1680000</v>
      </c>
      <c r="N119" s="452">
        <f t="shared" si="5"/>
        <v>1680000</v>
      </c>
      <c r="O119" s="453" t="s">
        <v>101</v>
      </c>
      <c r="P119" s="454">
        <v>0</v>
      </c>
      <c r="Q119" s="455">
        <v>0</v>
      </c>
      <c r="R119" s="386">
        <v>0</v>
      </c>
      <c r="S119" s="386">
        <v>0</v>
      </c>
      <c r="T119" s="386">
        <f t="shared" si="3"/>
        <v>1680000</v>
      </c>
      <c r="U119" s="456"/>
    </row>
    <row r="120" spans="1:21" ht="45">
      <c r="A120" s="444">
        <f t="shared" si="4"/>
        <v>107</v>
      </c>
      <c r="B120" s="445"/>
      <c r="C120" s="446"/>
      <c r="D120" s="446"/>
      <c r="E120" s="446"/>
      <c r="F120" s="446"/>
      <c r="G120" s="446"/>
      <c r="H120" s="446"/>
      <c r="I120" s="447" t="s">
        <v>1081</v>
      </c>
      <c r="J120" s="448" t="s">
        <v>1078</v>
      </c>
      <c r="K120" s="449" t="s">
        <v>851</v>
      </c>
      <c r="L120" s="450" t="s">
        <v>852</v>
      </c>
      <c r="M120" s="451">
        <v>270000</v>
      </c>
      <c r="N120" s="452">
        <f t="shared" si="5"/>
        <v>270000</v>
      </c>
      <c r="O120" s="453" t="s">
        <v>101</v>
      </c>
      <c r="P120" s="454">
        <v>0</v>
      </c>
      <c r="Q120" s="455">
        <v>0</v>
      </c>
      <c r="R120" s="386">
        <v>0</v>
      </c>
      <c r="S120" s="386">
        <v>0</v>
      </c>
      <c r="T120" s="386">
        <f t="shared" si="3"/>
        <v>270000</v>
      </c>
      <c r="U120" s="456"/>
    </row>
    <row r="121" spans="1:21" ht="105">
      <c r="A121" s="444">
        <f t="shared" si="4"/>
        <v>108</v>
      </c>
      <c r="B121" s="445"/>
      <c r="C121" s="446"/>
      <c r="D121" s="446"/>
      <c r="E121" s="446"/>
      <c r="F121" s="446"/>
      <c r="G121" s="446"/>
      <c r="H121" s="446"/>
      <c r="I121" s="447" t="s">
        <v>1082</v>
      </c>
      <c r="J121" s="448" t="s">
        <v>1083</v>
      </c>
      <c r="K121" s="449" t="s">
        <v>862</v>
      </c>
      <c r="L121" s="450" t="s">
        <v>852</v>
      </c>
      <c r="M121" s="451">
        <v>172800</v>
      </c>
      <c r="N121" s="452">
        <f t="shared" si="5"/>
        <v>172800</v>
      </c>
      <c r="O121" s="453" t="s">
        <v>101</v>
      </c>
      <c r="P121" s="454">
        <v>0</v>
      </c>
      <c r="Q121" s="455">
        <v>0</v>
      </c>
      <c r="R121" s="386">
        <v>0</v>
      </c>
      <c r="S121" s="386">
        <v>0</v>
      </c>
      <c r="T121" s="386">
        <f t="shared" si="3"/>
        <v>172800</v>
      </c>
      <c r="U121" s="456"/>
    </row>
    <row r="122" spans="1:21" ht="105">
      <c r="A122" s="444">
        <f t="shared" si="4"/>
        <v>109</v>
      </c>
      <c r="B122" s="445"/>
      <c r="C122" s="446"/>
      <c r="D122" s="446"/>
      <c r="E122" s="446"/>
      <c r="F122" s="446"/>
      <c r="G122" s="446"/>
      <c r="H122" s="446"/>
      <c r="I122" s="447" t="s">
        <v>1084</v>
      </c>
      <c r="J122" s="448" t="s">
        <v>1085</v>
      </c>
      <c r="K122" s="449" t="s">
        <v>862</v>
      </c>
      <c r="L122" s="450" t="s">
        <v>852</v>
      </c>
      <c r="M122" s="451">
        <v>172800</v>
      </c>
      <c r="N122" s="452">
        <f t="shared" si="5"/>
        <v>172800</v>
      </c>
      <c r="O122" s="453" t="s">
        <v>101</v>
      </c>
      <c r="P122" s="454">
        <v>0</v>
      </c>
      <c r="Q122" s="455">
        <v>0</v>
      </c>
      <c r="R122" s="386">
        <v>0</v>
      </c>
      <c r="S122" s="386">
        <v>0</v>
      </c>
      <c r="T122" s="386">
        <f t="shared" si="3"/>
        <v>172800</v>
      </c>
      <c r="U122" s="456"/>
    </row>
    <row r="123" spans="1:21" ht="105">
      <c r="A123" s="444">
        <f t="shared" si="4"/>
        <v>110</v>
      </c>
      <c r="B123" s="445"/>
      <c r="C123" s="446"/>
      <c r="D123" s="446"/>
      <c r="E123" s="446"/>
      <c r="F123" s="446"/>
      <c r="G123" s="446"/>
      <c r="H123" s="446"/>
      <c r="I123" s="447" t="s">
        <v>1086</v>
      </c>
      <c r="J123" s="448" t="s">
        <v>1087</v>
      </c>
      <c r="K123" s="449" t="s">
        <v>862</v>
      </c>
      <c r="L123" s="450" t="s">
        <v>852</v>
      </c>
      <c r="M123" s="451">
        <v>172800</v>
      </c>
      <c r="N123" s="452">
        <f t="shared" si="5"/>
        <v>172800</v>
      </c>
      <c r="O123" s="453" t="s">
        <v>101</v>
      </c>
      <c r="P123" s="454">
        <v>0</v>
      </c>
      <c r="Q123" s="455">
        <v>0</v>
      </c>
      <c r="R123" s="386">
        <v>0</v>
      </c>
      <c r="S123" s="386">
        <v>0</v>
      </c>
      <c r="T123" s="386">
        <f t="shared" si="3"/>
        <v>172800</v>
      </c>
      <c r="U123" s="456"/>
    </row>
    <row r="124" spans="1:21" ht="105">
      <c r="A124" s="444">
        <f t="shared" si="4"/>
        <v>111</v>
      </c>
      <c r="B124" s="445"/>
      <c r="C124" s="446"/>
      <c r="D124" s="446"/>
      <c r="E124" s="446"/>
      <c r="F124" s="446"/>
      <c r="G124" s="446"/>
      <c r="H124" s="446"/>
      <c r="I124" s="447" t="s">
        <v>1088</v>
      </c>
      <c r="J124" s="448" t="s">
        <v>1089</v>
      </c>
      <c r="K124" s="449" t="s">
        <v>862</v>
      </c>
      <c r="L124" s="450" t="s">
        <v>852</v>
      </c>
      <c r="M124" s="451">
        <v>172800</v>
      </c>
      <c r="N124" s="452">
        <f t="shared" si="5"/>
        <v>172800</v>
      </c>
      <c r="O124" s="453" t="s">
        <v>101</v>
      </c>
      <c r="P124" s="454">
        <v>0</v>
      </c>
      <c r="Q124" s="455">
        <v>0</v>
      </c>
      <c r="R124" s="386">
        <v>0</v>
      </c>
      <c r="S124" s="386">
        <v>0</v>
      </c>
      <c r="T124" s="386">
        <f t="shared" si="3"/>
        <v>172800</v>
      </c>
      <c r="U124" s="456"/>
    </row>
    <row r="125" spans="1:21" ht="120">
      <c r="A125" s="444">
        <f t="shared" si="4"/>
        <v>112</v>
      </c>
      <c r="B125" s="445"/>
      <c r="C125" s="446"/>
      <c r="D125" s="446"/>
      <c r="E125" s="446"/>
      <c r="F125" s="446"/>
      <c r="G125" s="446"/>
      <c r="H125" s="446"/>
      <c r="I125" s="447" t="s">
        <v>1090</v>
      </c>
      <c r="J125" s="448" t="s">
        <v>1091</v>
      </c>
      <c r="K125" s="449" t="s">
        <v>862</v>
      </c>
      <c r="L125" s="450" t="s">
        <v>852</v>
      </c>
      <c r="M125" s="451">
        <v>172800</v>
      </c>
      <c r="N125" s="452">
        <f t="shared" si="5"/>
        <v>172800</v>
      </c>
      <c r="O125" s="453" t="s">
        <v>101</v>
      </c>
      <c r="P125" s="454">
        <v>0</v>
      </c>
      <c r="Q125" s="455">
        <v>0</v>
      </c>
      <c r="R125" s="386">
        <v>0</v>
      </c>
      <c r="S125" s="386">
        <v>0</v>
      </c>
      <c r="T125" s="386">
        <f t="shared" si="3"/>
        <v>172800</v>
      </c>
      <c r="U125" s="456"/>
    </row>
    <row r="126" spans="1:21" ht="105">
      <c r="A126" s="444">
        <f t="shared" si="4"/>
        <v>113</v>
      </c>
      <c r="B126" s="445"/>
      <c r="C126" s="446"/>
      <c r="D126" s="446"/>
      <c r="E126" s="446"/>
      <c r="F126" s="446"/>
      <c r="G126" s="446"/>
      <c r="H126" s="446"/>
      <c r="I126" s="447" t="s">
        <v>1092</v>
      </c>
      <c r="J126" s="448" t="s">
        <v>1093</v>
      </c>
      <c r="K126" s="449" t="s">
        <v>862</v>
      </c>
      <c r="L126" s="450" t="s">
        <v>852</v>
      </c>
      <c r="M126" s="451">
        <v>172800</v>
      </c>
      <c r="N126" s="452">
        <f t="shared" si="5"/>
        <v>172800</v>
      </c>
      <c r="O126" s="453" t="s">
        <v>101</v>
      </c>
      <c r="P126" s="454">
        <v>0</v>
      </c>
      <c r="Q126" s="455">
        <v>0</v>
      </c>
      <c r="R126" s="386">
        <v>0</v>
      </c>
      <c r="S126" s="386">
        <v>0</v>
      </c>
      <c r="T126" s="386">
        <f t="shared" si="3"/>
        <v>172800</v>
      </c>
      <c r="U126" s="456"/>
    </row>
    <row r="127" spans="1:21" ht="105">
      <c r="A127" s="444">
        <f t="shared" si="4"/>
        <v>114</v>
      </c>
      <c r="B127" s="445"/>
      <c r="C127" s="446"/>
      <c r="D127" s="446"/>
      <c r="E127" s="446"/>
      <c r="F127" s="446"/>
      <c r="G127" s="446"/>
      <c r="H127" s="446"/>
      <c r="I127" s="447" t="s">
        <v>1094</v>
      </c>
      <c r="J127" s="448" t="s">
        <v>1095</v>
      </c>
      <c r="K127" s="449" t="s">
        <v>862</v>
      </c>
      <c r="L127" s="450" t="s">
        <v>852</v>
      </c>
      <c r="M127" s="451">
        <v>172800</v>
      </c>
      <c r="N127" s="452">
        <f t="shared" si="5"/>
        <v>172800</v>
      </c>
      <c r="O127" s="453" t="s">
        <v>101</v>
      </c>
      <c r="P127" s="454">
        <v>0</v>
      </c>
      <c r="Q127" s="455">
        <v>0</v>
      </c>
      <c r="R127" s="386">
        <v>0</v>
      </c>
      <c r="S127" s="386">
        <v>0</v>
      </c>
      <c r="T127" s="386">
        <f t="shared" si="3"/>
        <v>172800</v>
      </c>
      <c r="U127" s="456"/>
    </row>
    <row r="128" spans="1:21" ht="60">
      <c r="A128" s="444">
        <f t="shared" si="4"/>
        <v>115</v>
      </c>
      <c r="B128" s="445"/>
      <c r="C128" s="446"/>
      <c r="D128" s="446"/>
      <c r="E128" s="446"/>
      <c r="F128" s="446"/>
      <c r="G128" s="446"/>
      <c r="H128" s="446"/>
      <c r="I128" s="447" t="s">
        <v>1096</v>
      </c>
      <c r="J128" s="448" t="s">
        <v>1097</v>
      </c>
      <c r="K128" s="449" t="s">
        <v>901</v>
      </c>
      <c r="L128" s="450" t="s">
        <v>852</v>
      </c>
      <c r="M128" s="451">
        <v>420000</v>
      </c>
      <c r="N128" s="452">
        <f t="shared" si="5"/>
        <v>420000</v>
      </c>
      <c r="O128" s="453" t="s">
        <v>101</v>
      </c>
      <c r="P128" s="454">
        <v>0</v>
      </c>
      <c r="Q128" s="455">
        <v>0</v>
      </c>
      <c r="R128" s="386">
        <v>0</v>
      </c>
      <c r="S128" s="386">
        <v>0</v>
      </c>
      <c r="T128" s="386">
        <f t="shared" si="3"/>
        <v>420000</v>
      </c>
      <c r="U128" s="456"/>
    </row>
    <row r="129" spans="1:21" ht="105">
      <c r="A129" s="444">
        <f t="shared" si="4"/>
        <v>116</v>
      </c>
      <c r="B129" s="445"/>
      <c r="C129" s="446"/>
      <c r="D129" s="446"/>
      <c r="E129" s="446"/>
      <c r="F129" s="446"/>
      <c r="G129" s="446"/>
      <c r="H129" s="446"/>
      <c r="I129" s="447" t="s">
        <v>1098</v>
      </c>
      <c r="J129" s="448" t="s">
        <v>1099</v>
      </c>
      <c r="K129" s="449" t="s">
        <v>862</v>
      </c>
      <c r="L129" s="450" t="s">
        <v>852</v>
      </c>
      <c r="M129" s="451">
        <v>120000</v>
      </c>
      <c r="N129" s="452">
        <f t="shared" si="5"/>
        <v>120000</v>
      </c>
      <c r="O129" s="453" t="s">
        <v>101</v>
      </c>
      <c r="P129" s="454">
        <v>0</v>
      </c>
      <c r="Q129" s="455">
        <v>0</v>
      </c>
      <c r="R129" s="386">
        <v>0</v>
      </c>
      <c r="S129" s="386">
        <v>0</v>
      </c>
      <c r="T129" s="386">
        <f t="shared" si="3"/>
        <v>120000</v>
      </c>
      <c r="U129" s="456"/>
    </row>
    <row r="130" spans="1:21" ht="105">
      <c r="A130" s="444">
        <f t="shared" si="4"/>
        <v>117</v>
      </c>
      <c r="B130" s="445"/>
      <c r="C130" s="446"/>
      <c r="D130" s="446"/>
      <c r="E130" s="446"/>
      <c r="F130" s="446"/>
      <c r="G130" s="446"/>
      <c r="H130" s="446"/>
      <c r="I130" s="447" t="s">
        <v>1100</v>
      </c>
      <c r="J130" s="448" t="s">
        <v>1101</v>
      </c>
      <c r="K130" s="449" t="s">
        <v>862</v>
      </c>
      <c r="L130" s="450" t="s">
        <v>852</v>
      </c>
      <c r="M130" s="451">
        <v>120000</v>
      </c>
      <c r="N130" s="452">
        <f t="shared" si="5"/>
        <v>120000</v>
      </c>
      <c r="O130" s="453" t="s">
        <v>101</v>
      </c>
      <c r="P130" s="454">
        <v>0</v>
      </c>
      <c r="Q130" s="455">
        <v>0</v>
      </c>
      <c r="R130" s="386">
        <v>0</v>
      </c>
      <c r="S130" s="386">
        <v>0</v>
      </c>
      <c r="T130" s="386">
        <f t="shared" si="3"/>
        <v>120000</v>
      </c>
      <c r="U130" s="456"/>
    </row>
    <row r="131" spans="1:21" ht="105">
      <c r="A131" s="444">
        <f t="shared" si="4"/>
        <v>118</v>
      </c>
      <c r="B131" s="445"/>
      <c r="C131" s="446"/>
      <c r="D131" s="446"/>
      <c r="E131" s="446"/>
      <c r="F131" s="446"/>
      <c r="G131" s="446"/>
      <c r="H131" s="446"/>
      <c r="I131" s="447" t="s">
        <v>1102</v>
      </c>
      <c r="J131" s="448" t="s">
        <v>1103</v>
      </c>
      <c r="K131" s="449" t="s">
        <v>862</v>
      </c>
      <c r="L131" s="450" t="s">
        <v>852</v>
      </c>
      <c r="M131" s="451">
        <v>120000</v>
      </c>
      <c r="N131" s="452">
        <f t="shared" si="5"/>
        <v>120000</v>
      </c>
      <c r="O131" s="453" t="s">
        <v>101</v>
      </c>
      <c r="P131" s="454">
        <v>0</v>
      </c>
      <c r="Q131" s="455">
        <v>0</v>
      </c>
      <c r="R131" s="386">
        <v>0</v>
      </c>
      <c r="S131" s="386">
        <v>0</v>
      </c>
      <c r="T131" s="386">
        <f t="shared" si="3"/>
        <v>120000</v>
      </c>
      <c r="U131" s="456"/>
    </row>
    <row r="132" spans="1:21" ht="105">
      <c r="A132" s="444">
        <f t="shared" si="4"/>
        <v>119</v>
      </c>
      <c r="B132" s="445"/>
      <c r="C132" s="446"/>
      <c r="D132" s="446"/>
      <c r="E132" s="446"/>
      <c r="F132" s="446"/>
      <c r="G132" s="446"/>
      <c r="H132" s="446"/>
      <c r="I132" s="447" t="s">
        <v>1104</v>
      </c>
      <c r="J132" s="448" t="s">
        <v>1105</v>
      </c>
      <c r="K132" s="449" t="s">
        <v>862</v>
      </c>
      <c r="L132" s="450" t="s">
        <v>852</v>
      </c>
      <c r="M132" s="451">
        <v>120000</v>
      </c>
      <c r="N132" s="452">
        <f t="shared" si="5"/>
        <v>120000</v>
      </c>
      <c r="O132" s="453" t="s">
        <v>101</v>
      </c>
      <c r="P132" s="454">
        <v>0</v>
      </c>
      <c r="Q132" s="455">
        <v>0</v>
      </c>
      <c r="R132" s="386">
        <v>0</v>
      </c>
      <c r="S132" s="386">
        <v>0</v>
      </c>
      <c r="T132" s="386">
        <f t="shared" si="3"/>
        <v>120000</v>
      </c>
      <c r="U132" s="456"/>
    </row>
    <row r="133" spans="1:21" ht="105">
      <c r="A133" s="444">
        <f t="shared" si="4"/>
        <v>120</v>
      </c>
      <c r="B133" s="445"/>
      <c r="C133" s="446"/>
      <c r="D133" s="446"/>
      <c r="E133" s="446"/>
      <c r="F133" s="446"/>
      <c r="G133" s="446"/>
      <c r="H133" s="446"/>
      <c r="I133" s="447" t="s">
        <v>1106</v>
      </c>
      <c r="J133" s="448" t="s">
        <v>1107</v>
      </c>
      <c r="K133" s="449" t="s">
        <v>862</v>
      </c>
      <c r="L133" s="450" t="s">
        <v>852</v>
      </c>
      <c r="M133" s="451">
        <v>120000</v>
      </c>
      <c r="N133" s="452">
        <f t="shared" si="5"/>
        <v>120000</v>
      </c>
      <c r="O133" s="453" t="s">
        <v>101</v>
      </c>
      <c r="P133" s="454">
        <v>0</v>
      </c>
      <c r="Q133" s="455">
        <v>0</v>
      </c>
      <c r="R133" s="386">
        <v>0</v>
      </c>
      <c r="S133" s="386">
        <v>0</v>
      </c>
      <c r="T133" s="386">
        <f t="shared" si="3"/>
        <v>120000</v>
      </c>
      <c r="U133" s="456"/>
    </row>
    <row r="134" spans="1:21" ht="105">
      <c r="A134" s="444">
        <f t="shared" si="4"/>
        <v>121</v>
      </c>
      <c r="B134" s="445"/>
      <c r="C134" s="446"/>
      <c r="D134" s="446"/>
      <c r="E134" s="446"/>
      <c r="F134" s="446"/>
      <c r="G134" s="446"/>
      <c r="H134" s="446"/>
      <c r="I134" s="447" t="s">
        <v>1108</v>
      </c>
      <c r="J134" s="448" t="s">
        <v>1109</v>
      </c>
      <c r="K134" s="449" t="s">
        <v>862</v>
      </c>
      <c r="L134" s="450" t="s">
        <v>852</v>
      </c>
      <c r="M134" s="451">
        <v>120000</v>
      </c>
      <c r="N134" s="452">
        <f t="shared" si="5"/>
        <v>120000</v>
      </c>
      <c r="O134" s="453" t="s">
        <v>101</v>
      </c>
      <c r="P134" s="454">
        <v>0</v>
      </c>
      <c r="Q134" s="455">
        <v>0</v>
      </c>
      <c r="R134" s="386">
        <v>0</v>
      </c>
      <c r="S134" s="386">
        <v>0</v>
      </c>
      <c r="T134" s="386">
        <f t="shared" si="3"/>
        <v>120000</v>
      </c>
      <c r="U134" s="456"/>
    </row>
    <row r="135" spans="1:21" ht="105">
      <c r="A135" s="444">
        <f t="shared" si="4"/>
        <v>122</v>
      </c>
      <c r="B135" s="445"/>
      <c r="C135" s="446"/>
      <c r="D135" s="446"/>
      <c r="E135" s="446"/>
      <c r="F135" s="446"/>
      <c r="G135" s="446"/>
      <c r="H135" s="446"/>
      <c r="I135" s="447" t="s">
        <v>1110</v>
      </c>
      <c r="J135" s="448" t="s">
        <v>1111</v>
      </c>
      <c r="K135" s="449" t="s">
        <v>862</v>
      </c>
      <c r="L135" s="450" t="s">
        <v>852</v>
      </c>
      <c r="M135" s="451">
        <v>120000</v>
      </c>
      <c r="N135" s="452">
        <f t="shared" si="5"/>
        <v>120000</v>
      </c>
      <c r="O135" s="453" t="s">
        <v>101</v>
      </c>
      <c r="P135" s="454">
        <v>0</v>
      </c>
      <c r="Q135" s="455">
        <v>0</v>
      </c>
      <c r="R135" s="386">
        <v>0</v>
      </c>
      <c r="S135" s="386">
        <v>0</v>
      </c>
      <c r="T135" s="386">
        <f t="shared" si="3"/>
        <v>120000</v>
      </c>
      <c r="U135" s="456"/>
    </row>
    <row r="136" spans="1:21" ht="105">
      <c r="A136" s="444">
        <f t="shared" si="4"/>
        <v>123</v>
      </c>
      <c r="B136" s="445"/>
      <c r="C136" s="446"/>
      <c r="D136" s="446"/>
      <c r="E136" s="446"/>
      <c r="F136" s="446"/>
      <c r="G136" s="446"/>
      <c r="H136" s="446"/>
      <c r="I136" s="447" t="s">
        <v>1112</v>
      </c>
      <c r="J136" s="448" t="s">
        <v>1113</v>
      </c>
      <c r="K136" s="449" t="s">
        <v>862</v>
      </c>
      <c r="L136" s="450" t="s">
        <v>852</v>
      </c>
      <c r="M136" s="451">
        <v>120000</v>
      </c>
      <c r="N136" s="452">
        <f t="shared" si="5"/>
        <v>120000</v>
      </c>
      <c r="O136" s="453" t="s">
        <v>101</v>
      </c>
      <c r="P136" s="454">
        <v>0</v>
      </c>
      <c r="Q136" s="455">
        <v>0</v>
      </c>
      <c r="R136" s="386">
        <v>0</v>
      </c>
      <c r="S136" s="386">
        <v>0</v>
      </c>
      <c r="T136" s="386">
        <f t="shared" si="3"/>
        <v>120000</v>
      </c>
      <c r="U136" s="456"/>
    </row>
    <row r="137" spans="1:21" ht="105">
      <c r="A137" s="444">
        <f t="shared" si="4"/>
        <v>124</v>
      </c>
      <c r="B137" s="445"/>
      <c r="C137" s="446"/>
      <c r="D137" s="446"/>
      <c r="E137" s="446"/>
      <c r="F137" s="446"/>
      <c r="G137" s="446"/>
      <c r="H137" s="446"/>
      <c r="I137" s="447" t="s">
        <v>1114</v>
      </c>
      <c r="J137" s="448" t="s">
        <v>1115</v>
      </c>
      <c r="K137" s="449" t="s">
        <v>862</v>
      </c>
      <c r="L137" s="450" t="s">
        <v>852</v>
      </c>
      <c r="M137" s="451">
        <v>120000</v>
      </c>
      <c r="N137" s="452">
        <f t="shared" si="5"/>
        <v>120000</v>
      </c>
      <c r="O137" s="453" t="s">
        <v>101</v>
      </c>
      <c r="P137" s="454">
        <v>0</v>
      </c>
      <c r="Q137" s="455">
        <v>0</v>
      </c>
      <c r="R137" s="386">
        <v>0</v>
      </c>
      <c r="S137" s="386">
        <v>0</v>
      </c>
      <c r="T137" s="386">
        <f t="shared" ref="T137:T189" si="6">N137-R137-S137</f>
        <v>120000</v>
      </c>
      <c r="U137" s="456"/>
    </row>
    <row r="138" spans="1:21" ht="105">
      <c r="A138" s="444">
        <f t="shared" si="4"/>
        <v>125</v>
      </c>
      <c r="B138" s="445"/>
      <c r="C138" s="446"/>
      <c r="D138" s="446"/>
      <c r="E138" s="446"/>
      <c r="F138" s="446"/>
      <c r="G138" s="446"/>
      <c r="H138" s="446"/>
      <c r="I138" s="447" t="s">
        <v>1116</v>
      </c>
      <c r="J138" s="448" t="s">
        <v>1117</v>
      </c>
      <c r="K138" s="449" t="s">
        <v>862</v>
      </c>
      <c r="L138" s="450" t="s">
        <v>852</v>
      </c>
      <c r="M138" s="451">
        <v>120000</v>
      </c>
      <c r="N138" s="452">
        <f t="shared" si="5"/>
        <v>120000</v>
      </c>
      <c r="O138" s="453" t="s">
        <v>101</v>
      </c>
      <c r="P138" s="454">
        <v>0</v>
      </c>
      <c r="Q138" s="455">
        <v>0</v>
      </c>
      <c r="R138" s="386">
        <v>0</v>
      </c>
      <c r="S138" s="386">
        <v>0</v>
      </c>
      <c r="T138" s="386">
        <f t="shared" si="6"/>
        <v>120000</v>
      </c>
      <c r="U138" s="456"/>
    </row>
    <row r="139" spans="1:21" ht="105">
      <c r="A139" s="444">
        <f t="shared" si="4"/>
        <v>126</v>
      </c>
      <c r="B139" s="445"/>
      <c r="C139" s="446"/>
      <c r="D139" s="446"/>
      <c r="E139" s="446"/>
      <c r="F139" s="446"/>
      <c r="G139" s="446"/>
      <c r="H139" s="446"/>
      <c r="I139" s="447" t="s">
        <v>1118</v>
      </c>
      <c r="J139" s="448" t="s">
        <v>1119</v>
      </c>
      <c r="K139" s="449" t="s">
        <v>862</v>
      </c>
      <c r="L139" s="450" t="s">
        <v>852</v>
      </c>
      <c r="M139" s="451">
        <v>120000</v>
      </c>
      <c r="N139" s="452">
        <f t="shared" si="5"/>
        <v>120000</v>
      </c>
      <c r="O139" s="453" t="s">
        <v>101</v>
      </c>
      <c r="P139" s="454">
        <v>0</v>
      </c>
      <c r="Q139" s="455">
        <v>0</v>
      </c>
      <c r="R139" s="386">
        <v>0</v>
      </c>
      <c r="S139" s="386">
        <v>0</v>
      </c>
      <c r="T139" s="386">
        <f t="shared" si="6"/>
        <v>120000</v>
      </c>
      <c r="U139" s="456"/>
    </row>
    <row r="140" spans="1:21" ht="105">
      <c r="A140" s="444">
        <f t="shared" si="4"/>
        <v>127</v>
      </c>
      <c r="B140" s="445"/>
      <c r="C140" s="446"/>
      <c r="D140" s="446"/>
      <c r="E140" s="446"/>
      <c r="F140" s="446"/>
      <c r="G140" s="446"/>
      <c r="H140" s="446"/>
      <c r="I140" s="447" t="s">
        <v>1120</v>
      </c>
      <c r="J140" s="448" t="s">
        <v>1121</v>
      </c>
      <c r="K140" s="449" t="s">
        <v>862</v>
      </c>
      <c r="L140" s="450" t="s">
        <v>852</v>
      </c>
      <c r="M140" s="451">
        <v>120000</v>
      </c>
      <c r="N140" s="452">
        <f t="shared" si="5"/>
        <v>120000</v>
      </c>
      <c r="O140" s="453" t="s">
        <v>101</v>
      </c>
      <c r="P140" s="454">
        <v>0</v>
      </c>
      <c r="Q140" s="455">
        <v>0</v>
      </c>
      <c r="R140" s="386">
        <v>0</v>
      </c>
      <c r="S140" s="386">
        <v>0</v>
      </c>
      <c r="T140" s="386">
        <f t="shared" si="6"/>
        <v>120000</v>
      </c>
      <c r="U140" s="456"/>
    </row>
    <row r="141" spans="1:21" ht="105">
      <c r="A141" s="444">
        <f t="shared" si="4"/>
        <v>128</v>
      </c>
      <c r="B141" s="445"/>
      <c r="C141" s="446"/>
      <c r="D141" s="446"/>
      <c r="E141" s="446"/>
      <c r="F141" s="446"/>
      <c r="G141" s="446"/>
      <c r="H141" s="446"/>
      <c r="I141" s="447" t="s">
        <v>1122</v>
      </c>
      <c r="J141" s="448" t="s">
        <v>1123</v>
      </c>
      <c r="K141" s="449" t="s">
        <v>862</v>
      </c>
      <c r="L141" s="450" t="s">
        <v>852</v>
      </c>
      <c r="M141" s="451">
        <v>120000</v>
      </c>
      <c r="N141" s="452">
        <f t="shared" si="5"/>
        <v>120000</v>
      </c>
      <c r="O141" s="453" t="s">
        <v>101</v>
      </c>
      <c r="P141" s="454">
        <v>0</v>
      </c>
      <c r="Q141" s="455">
        <v>0</v>
      </c>
      <c r="R141" s="386">
        <v>0</v>
      </c>
      <c r="S141" s="386">
        <v>0</v>
      </c>
      <c r="T141" s="386">
        <f t="shared" si="6"/>
        <v>120000</v>
      </c>
      <c r="U141" s="456"/>
    </row>
    <row r="142" spans="1:21" ht="105">
      <c r="A142" s="444">
        <f t="shared" si="4"/>
        <v>129</v>
      </c>
      <c r="B142" s="445"/>
      <c r="C142" s="446"/>
      <c r="D142" s="446"/>
      <c r="E142" s="446"/>
      <c r="F142" s="446"/>
      <c r="G142" s="446"/>
      <c r="H142" s="446"/>
      <c r="I142" s="447" t="s">
        <v>1124</v>
      </c>
      <c r="J142" s="448" t="s">
        <v>1125</v>
      </c>
      <c r="K142" s="449" t="s">
        <v>862</v>
      </c>
      <c r="L142" s="450" t="s">
        <v>852</v>
      </c>
      <c r="M142" s="451">
        <v>120000</v>
      </c>
      <c r="N142" s="452">
        <f t="shared" si="5"/>
        <v>120000</v>
      </c>
      <c r="O142" s="453" t="s">
        <v>101</v>
      </c>
      <c r="P142" s="454">
        <v>0</v>
      </c>
      <c r="Q142" s="455">
        <v>0</v>
      </c>
      <c r="R142" s="386">
        <v>0</v>
      </c>
      <c r="S142" s="386">
        <v>0</v>
      </c>
      <c r="T142" s="386">
        <f t="shared" si="6"/>
        <v>120000</v>
      </c>
      <c r="U142" s="456"/>
    </row>
    <row r="143" spans="1:21" ht="105">
      <c r="A143" s="444">
        <f t="shared" si="4"/>
        <v>130</v>
      </c>
      <c r="B143" s="445"/>
      <c r="C143" s="446"/>
      <c r="D143" s="446"/>
      <c r="E143" s="446"/>
      <c r="F143" s="446"/>
      <c r="G143" s="446"/>
      <c r="H143" s="446"/>
      <c r="I143" s="447" t="s">
        <v>1126</v>
      </c>
      <c r="J143" s="448" t="s">
        <v>1127</v>
      </c>
      <c r="K143" s="449" t="s">
        <v>862</v>
      </c>
      <c r="L143" s="450" t="s">
        <v>852</v>
      </c>
      <c r="M143" s="451">
        <v>156801</v>
      </c>
      <c r="N143" s="452">
        <f t="shared" si="5"/>
        <v>156801</v>
      </c>
      <c r="O143" s="453" t="s">
        <v>101</v>
      </c>
      <c r="P143" s="454">
        <v>0</v>
      </c>
      <c r="Q143" s="455">
        <v>0</v>
      </c>
      <c r="R143" s="386">
        <v>0</v>
      </c>
      <c r="S143" s="386">
        <v>0</v>
      </c>
      <c r="T143" s="386">
        <f t="shared" si="6"/>
        <v>156801</v>
      </c>
      <c r="U143" s="456"/>
    </row>
    <row r="144" spans="1:21" ht="105">
      <c r="A144" s="444">
        <f t="shared" ref="A144:A188" si="7">A143+1</f>
        <v>131</v>
      </c>
      <c r="B144" s="445"/>
      <c r="C144" s="446"/>
      <c r="D144" s="446"/>
      <c r="E144" s="446"/>
      <c r="F144" s="446"/>
      <c r="G144" s="446"/>
      <c r="H144" s="446"/>
      <c r="I144" s="447" t="s">
        <v>1128</v>
      </c>
      <c r="J144" s="448" t="s">
        <v>1129</v>
      </c>
      <c r="K144" s="449" t="s">
        <v>862</v>
      </c>
      <c r="L144" s="450" t="s">
        <v>852</v>
      </c>
      <c r="M144" s="451">
        <v>156801</v>
      </c>
      <c r="N144" s="452">
        <f>M144</f>
        <v>156801</v>
      </c>
      <c r="O144" s="453" t="s">
        <v>101</v>
      </c>
      <c r="P144" s="454">
        <v>0</v>
      </c>
      <c r="Q144" s="455">
        <v>0</v>
      </c>
      <c r="R144" s="386">
        <v>0</v>
      </c>
      <c r="S144" s="386">
        <v>0</v>
      </c>
      <c r="T144" s="386">
        <f t="shared" si="6"/>
        <v>156801</v>
      </c>
      <c r="U144" s="456"/>
    </row>
    <row r="145" spans="1:21" ht="105">
      <c r="A145" s="444">
        <f t="shared" si="7"/>
        <v>132</v>
      </c>
      <c r="B145" s="445"/>
      <c r="C145" s="446"/>
      <c r="D145" s="446"/>
      <c r="E145" s="446"/>
      <c r="F145" s="446"/>
      <c r="G145" s="446"/>
      <c r="H145" s="446"/>
      <c r="I145" s="447" t="s">
        <v>1130</v>
      </c>
      <c r="J145" s="448" t="s">
        <v>1131</v>
      </c>
      <c r="K145" s="449" t="s">
        <v>862</v>
      </c>
      <c r="L145" s="450" t="s">
        <v>852</v>
      </c>
      <c r="M145" s="451">
        <v>156801</v>
      </c>
      <c r="N145" s="452">
        <f>M145</f>
        <v>156801</v>
      </c>
      <c r="O145" s="453" t="s">
        <v>101</v>
      </c>
      <c r="P145" s="454">
        <v>0</v>
      </c>
      <c r="Q145" s="455">
        <v>0</v>
      </c>
      <c r="R145" s="386">
        <v>0</v>
      </c>
      <c r="S145" s="386">
        <v>0</v>
      </c>
      <c r="T145" s="386">
        <f t="shared" si="6"/>
        <v>156801</v>
      </c>
      <c r="U145" s="456"/>
    </row>
    <row r="146" spans="1:21" ht="105">
      <c r="A146" s="444">
        <f t="shared" si="7"/>
        <v>133</v>
      </c>
      <c r="B146" s="445"/>
      <c r="C146" s="446"/>
      <c r="D146" s="446"/>
      <c r="E146" s="446"/>
      <c r="F146" s="446"/>
      <c r="G146" s="446"/>
      <c r="H146" s="446"/>
      <c r="I146" s="447" t="s">
        <v>1132</v>
      </c>
      <c r="J146" s="448" t="s">
        <v>1133</v>
      </c>
      <c r="K146" s="449" t="s">
        <v>862</v>
      </c>
      <c r="L146" s="450" t="s">
        <v>852</v>
      </c>
      <c r="M146" s="451">
        <v>156801</v>
      </c>
      <c r="N146" s="452">
        <f>M146</f>
        <v>156801</v>
      </c>
      <c r="O146" s="453" t="s">
        <v>101</v>
      </c>
      <c r="P146" s="454">
        <v>0</v>
      </c>
      <c r="Q146" s="455">
        <v>0</v>
      </c>
      <c r="R146" s="386">
        <v>0</v>
      </c>
      <c r="S146" s="386">
        <v>0</v>
      </c>
      <c r="T146" s="386">
        <f t="shared" si="6"/>
        <v>156801</v>
      </c>
      <c r="U146" s="456"/>
    </row>
    <row r="147" spans="1:21" ht="105">
      <c r="A147" s="444">
        <f t="shared" si="7"/>
        <v>134</v>
      </c>
      <c r="B147" s="445"/>
      <c r="C147" s="446"/>
      <c r="D147" s="446"/>
      <c r="E147" s="446"/>
      <c r="F147" s="446"/>
      <c r="G147" s="446"/>
      <c r="H147" s="446"/>
      <c r="I147" s="447" t="s">
        <v>1134</v>
      </c>
      <c r="J147" s="448" t="s">
        <v>1135</v>
      </c>
      <c r="K147" s="449" t="s">
        <v>862</v>
      </c>
      <c r="L147" s="450" t="s">
        <v>852</v>
      </c>
      <c r="M147" s="451">
        <v>156801</v>
      </c>
      <c r="N147" s="452">
        <f>M147</f>
        <v>156801</v>
      </c>
      <c r="O147" s="453" t="s">
        <v>101</v>
      </c>
      <c r="P147" s="454">
        <v>0</v>
      </c>
      <c r="Q147" s="455">
        <v>0</v>
      </c>
      <c r="R147" s="386">
        <v>0</v>
      </c>
      <c r="S147" s="386">
        <v>0</v>
      </c>
      <c r="T147" s="386">
        <f t="shared" si="6"/>
        <v>156801</v>
      </c>
      <c r="U147" s="456"/>
    </row>
    <row r="148" spans="1:21" ht="105">
      <c r="A148" s="444">
        <f t="shared" si="7"/>
        <v>135</v>
      </c>
      <c r="B148" s="445"/>
      <c r="C148" s="446"/>
      <c r="D148" s="446"/>
      <c r="E148" s="446"/>
      <c r="F148" s="446"/>
      <c r="G148" s="446"/>
      <c r="H148" s="446"/>
      <c r="I148" s="447" t="s">
        <v>1136</v>
      </c>
      <c r="J148" s="448" t="s">
        <v>1137</v>
      </c>
      <c r="K148" s="449" t="s">
        <v>862</v>
      </c>
      <c r="L148" s="450" t="s">
        <v>852</v>
      </c>
      <c r="M148" s="451">
        <v>156801</v>
      </c>
      <c r="N148" s="452">
        <f>M148</f>
        <v>156801</v>
      </c>
      <c r="O148" s="453" t="s">
        <v>101</v>
      </c>
      <c r="P148" s="454">
        <v>0</v>
      </c>
      <c r="Q148" s="455">
        <v>0</v>
      </c>
      <c r="R148" s="386">
        <v>0</v>
      </c>
      <c r="S148" s="386">
        <v>0</v>
      </c>
      <c r="T148" s="386">
        <f t="shared" si="6"/>
        <v>156801</v>
      </c>
      <c r="U148" s="456"/>
    </row>
    <row r="149" spans="1:21" ht="105">
      <c r="A149" s="444">
        <f t="shared" si="7"/>
        <v>136</v>
      </c>
      <c r="B149" s="445"/>
      <c r="C149" s="446"/>
      <c r="D149" s="446"/>
      <c r="E149" s="446"/>
      <c r="F149" s="446"/>
      <c r="G149" s="446"/>
      <c r="H149" s="446"/>
      <c r="I149" s="447" t="s">
        <v>1138</v>
      </c>
      <c r="J149" s="448" t="s">
        <v>1139</v>
      </c>
      <c r="K149" s="449" t="s">
        <v>862</v>
      </c>
      <c r="L149" s="450" t="s">
        <v>852</v>
      </c>
      <c r="M149" s="451">
        <v>100800</v>
      </c>
      <c r="N149" s="452">
        <f t="shared" si="5"/>
        <v>100800</v>
      </c>
      <c r="O149" s="453" t="s">
        <v>101</v>
      </c>
      <c r="P149" s="454">
        <v>0</v>
      </c>
      <c r="Q149" s="455">
        <v>0</v>
      </c>
      <c r="R149" s="386">
        <v>0</v>
      </c>
      <c r="S149" s="386">
        <v>0</v>
      </c>
      <c r="T149" s="386">
        <f t="shared" si="6"/>
        <v>100800</v>
      </c>
      <c r="U149" s="456"/>
    </row>
    <row r="150" spans="1:21" ht="105">
      <c r="A150" s="444">
        <f t="shared" si="7"/>
        <v>137</v>
      </c>
      <c r="B150" s="445"/>
      <c r="C150" s="446"/>
      <c r="D150" s="446"/>
      <c r="E150" s="446"/>
      <c r="F150" s="446"/>
      <c r="G150" s="446"/>
      <c r="H150" s="446"/>
      <c r="I150" s="447" t="s">
        <v>1140</v>
      </c>
      <c r="J150" s="448" t="s">
        <v>1141</v>
      </c>
      <c r="K150" s="449" t="s">
        <v>862</v>
      </c>
      <c r="L150" s="450" t="s">
        <v>852</v>
      </c>
      <c r="M150" s="451">
        <v>100800</v>
      </c>
      <c r="N150" s="452">
        <f>M150</f>
        <v>100800</v>
      </c>
      <c r="O150" s="453" t="s">
        <v>101</v>
      </c>
      <c r="P150" s="454">
        <v>0</v>
      </c>
      <c r="Q150" s="455">
        <v>0</v>
      </c>
      <c r="R150" s="386">
        <v>0</v>
      </c>
      <c r="S150" s="386">
        <v>0</v>
      </c>
      <c r="T150" s="386">
        <f t="shared" si="6"/>
        <v>100800</v>
      </c>
      <c r="U150" s="456"/>
    </row>
    <row r="151" spans="1:21" ht="120">
      <c r="A151" s="444">
        <f t="shared" si="7"/>
        <v>138</v>
      </c>
      <c r="B151" s="445"/>
      <c r="C151" s="446"/>
      <c r="D151" s="446"/>
      <c r="E151" s="446"/>
      <c r="F151" s="446"/>
      <c r="G151" s="446"/>
      <c r="H151" s="446"/>
      <c r="I151" s="447" t="s">
        <v>1142</v>
      </c>
      <c r="J151" s="448" t="s">
        <v>1143</v>
      </c>
      <c r="K151" s="449" t="s">
        <v>862</v>
      </c>
      <c r="L151" s="450" t="s">
        <v>852</v>
      </c>
      <c r="M151" s="451">
        <v>100800</v>
      </c>
      <c r="N151" s="452">
        <f>M151</f>
        <v>100800</v>
      </c>
      <c r="O151" s="453" t="s">
        <v>101</v>
      </c>
      <c r="P151" s="454">
        <v>0</v>
      </c>
      <c r="Q151" s="455">
        <v>0</v>
      </c>
      <c r="R151" s="386">
        <v>0</v>
      </c>
      <c r="S151" s="386">
        <v>0</v>
      </c>
      <c r="T151" s="386">
        <f t="shared" si="6"/>
        <v>100800</v>
      </c>
      <c r="U151" s="456"/>
    </row>
    <row r="152" spans="1:21" ht="105">
      <c r="A152" s="444">
        <f t="shared" si="7"/>
        <v>139</v>
      </c>
      <c r="B152" s="445"/>
      <c r="C152" s="446"/>
      <c r="D152" s="446"/>
      <c r="E152" s="446"/>
      <c r="F152" s="446"/>
      <c r="G152" s="446"/>
      <c r="H152" s="446"/>
      <c r="I152" s="447" t="s">
        <v>1144</v>
      </c>
      <c r="J152" s="448" t="s">
        <v>1145</v>
      </c>
      <c r="K152" s="449" t="s">
        <v>862</v>
      </c>
      <c r="L152" s="450" t="s">
        <v>852</v>
      </c>
      <c r="M152" s="451">
        <v>100800</v>
      </c>
      <c r="N152" s="452">
        <f>M152</f>
        <v>100800</v>
      </c>
      <c r="O152" s="453" t="s">
        <v>101</v>
      </c>
      <c r="P152" s="454">
        <v>0</v>
      </c>
      <c r="Q152" s="455">
        <v>0</v>
      </c>
      <c r="R152" s="386">
        <v>0</v>
      </c>
      <c r="S152" s="386">
        <v>0</v>
      </c>
      <c r="T152" s="386">
        <f t="shared" si="6"/>
        <v>100800</v>
      </c>
      <c r="U152" s="456"/>
    </row>
    <row r="153" spans="1:21" ht="45">
      <c r="A153" s="444">
        <f t="shared" si="7"/>
        <v>140</v>
      </c>
      <c r="B153" s="445"/>
      <c r="C153" s="446"/>
      <c r="D153" s="446"/>
      <c r="E153" s="446"/>
      <c r="F153" s="446"/>
      <c r="G153" s="446"/>
      <c r="H153" s="446"/>
      <c r="I153" s="447" t="s">
        <v>1146</v>
      </c>
      <c r="J153" s="448" t="s">
        <v>1147</v>
      </c>
      <c r="K153" s="449" t="s">
        <v>851</v>
      </c>
      <c r="L153" s="450" t="s">
        <v>852</v>
      </c>
      <c r="M153" s="451">
        <v>600000</v>
      </c>
      <c r="N153" s="452">
        <f t="shared" si="5"/>
        <v>600000</v>
      </c>
      <c r="O153" s="453" t="s">
        <v>101</v>
      </c>
      <c r="P153" s="454">
        <v>0</v>
      </c>
      <c r="Q153" s="455">
        <v>0</v>
      </c>
      <c r="R153" s="386">
        <v>0</v>
      </c>
      <c r="S153" s="386">
        <v>0</v>
      </c>
      <c r="T153" s="386">
        <f t="shared" si="6"/>
        <v>600000</v>
      </c>
      <c r="U153" s="456"/>
    </row>
    <row r="154" spans="1:21" ht="45">
      <c r="A154" s="444">
        <f t="shared" si="7"/>
        <v>141</v>
      </c>
      <c r="B154" s="445"/>
      <c r="C154" s="446"/>
      <c r="D154" s="446"/>
      <c r="E154" s="446"/>
      <c r="F154" s="446"/>
      <c r="G154" s="446"/>
      <c r="H154" s="446"/>
      <c r="I154" s="447" t="s">
        <v>1148</v>
      </c>
      <c r="J154" s="448" t="s">
        <v>1078</v>
      </c>
      <c r="K154" s="449" t="s">
        <v>851</v>
      </c>
      <c r="L154" s="450" t="s">
        <v>852</v>
      </c>
      <c r="M154" s="451">
        <v>1920000</v>
      </c>
      <c r="N154" s="452">
        <f t="shared" si="5"/>
        <v>1920000</v>
      </c>
      <c r="O154" s="453" t="s">
        <v>101</v>
      </c>
      <c r="P154" s="454">
        <v>0</v>
      </c>
      <c r="Q154" s="455">
        <v>0</v>
      </c>
      <c r="R154" s="386">
        <v>0</v>
      </c>
      <c r="S154" s="386">
        <v>0</v>
      </c>
      <c r="T154" s="386">
        <f t="shared" si="6"/>
        <v>1920000</v>
      </c>
      <c r="U154" s="456"/>
    </row>
    <row r="155" spans="1:21" ht="45">
      <c r="A155" s="444">
        <f t="shared" si="7"/>
        <v>142</v>
      </c>
      <c r="B155" s="445"/>
      <c r="C155" s="446"/>
      <c r="D155" s="446"/>
      <c r="E155" s="446"/>
      <c r="F155" s="446"/>
      <c r="G155" s="446"/>
      <c r="H155" s="446"/>
      <c r="I155" s="447" t="s">
        <v>1149</v>
      </c>
      <c r="J155" s="448" t="s">
        <v>1150</v>
      </c>
      <c r="K155" s="449" t="s">
        <v>851</v>
      </c>
      <c r="L155" s="450" t="s">
        <v>852</v>
      </c>
      <c r="M155" s="451">
        <v>1080000</v>
      </c>
      <c r="N155" s="452">
        <f t="shared" si="5"/>
        <v>1080000</v>
      </c>
      <c r="O155" s="453" t="s">
        <v>101</v>
      </c>
      <c r="P155" s="454">
        <v>0</v>
      </c>
      <c r="Q155" s="455">
        <v>0</v>
      </c>
      <c r="R155" s="386">
        <v>0</v>
      </c>
      <c r="S155" s="386">
        <v>0</v>
      </c>
      <c r="T155" s="386">
        <f t="shared" si="6"/>
        <v>1080000</v>
      </c>
      <c r="U155" s="456"/>
    </row>
    <row r="156" spans="1:21" ht="75">
      <c r="A156" s="444">
        <f t="shared" si="7"/>
        <v>143</v>
      </c>
      <c r="B156" s="445"/>
      <c r="C156" s="446"/>
      <c r="D156" s="446"/>
      <c r="E156" s="446"/>
      <c r="F156" s="446"/>
      <c r="G156" s="446"/>
      <c r="H156" s="446"/>
      <c r="I156" s="447" t="s">
        <v>1151</v>
      </c>
      <c r="J156" s="448" t="s">
        <v>1152</v>
      </c>
      <c r="K156" s="449" t="s">
        <v>901</v>
      </c>
      <c r="L156" s="450" t="s">
        <v>852</v>
      </c>
      <c r="M156" s="451">
        <v>420000</v>
      </c>
      <c r="N156" s="452">
        <f t="shared" si="5"/>
        <v>420000</v>
      </c>
      <c r="O156" s="453" t="s">
        <v>101</v>
      </c>
      <c r="P156" s="454">
        <v>0</v>
      </c>
      <c r="Q156" s="455">
        <v>0</v>
      </c>
      <c r="R156" s="386">
        <v>0</v>
      </c>
      <c r="S156" s="386">
        <v>0</v>
      </c>
      <c r="T156" s="386">
        <f t="shared" si="6"/>
        <v>420000</v>
      </c>
      <c r="U156" s="456"/>
    </row>
    <row r="157" spans="1:21" ht="45">
      <c r="A157" s="444">
        <f t="shared" si="7"/>
        <v>144</v>
      </c>
      <c r="B157" s="445"/>
      <c r="C157" s="446"/>
      <c r="D157" s="446"/>
      <c r="E157" s="446"/>
      <c r="F157" s="446"/>
      <c r="G157" s="446"/>
      <c r="H157" s="446"/>
      <c r="I157" s="447" t="s">
        <v>1153</v>
      </c>
      <c r="J157" s="448" t="s">
        <v>1154</v>
      </c>
      <c r="K157" s="449" t="s">
        <v>901</v>
      </c>
      <c r="L157" s="450" t="s">
        <v>852</v>
      </c>
      <c r="M157" s="451">
        <v>120000</v>
      </c>
      <c r="N157" s="452">
        <f t="shared" si="5"/>
        <v>120000</v>
      </c>
      <c r="O157" s="453" t="s">
        <v>101</v>
      </c>
      <c r="P157" s="454">
        <v>0</v>
      </c>
      <c r="Q157" s="455">
        <v>0</v>
      </c>
      <c r="R157" s="386">
        <v>0</v>
      </c>
      <c r="S157" s="386">
        <v>0</v>
      </c>
      <c r="T157" s="386">
        <f t="shared" si="6"/>
        <v>120000</v>
      </c>
      <c r="U157" s="456"/>
    </row>
    <row r="158" spans="1:21" ht="75">
      <c r="A158" s="444">
        <f t="shared" si="7"/>
        <v>145</v>
      </c>
      <c r="B158" s="445"/>
      <c r="C158" s="446"/>
      <c r="D158" s="446"/>
      <c r="E158" s="446"/>
      <c r="F158" s="446"/>
      <c r="G158" s="446"/>
      <c r="H158" s="446"/>
      <c r="I158" s="447" t="s">
        <v>1155</v>
      </c>
      <c r="J158" s="448" t="s">
        <v>1156</v>
      </c>
      <c r="K158" s="449" t="s">
        <v>901</v>
      </c>
      <c r="L158" s="450" t="s">
        <v>852</v>
      </c>
      <c r="M158" s="451">
        <v>240000</v>
      </c>
      <c r="N158" s="452">
        <f t="shared" si="5"/>
        <v>240000</v>
      </c>
      <c r="O158" s="453" t="s">
        <v>101</v>
      </c>
      <c r="P158" s="454">
        <v>0</v>
      </c>
      <c r="Q158" s="455">
        <v>0</v>
      </c>
      <c r="R158" s="386">
        <v>0</v>
      </c>
      <c r="S158" s="386">
        <v>0</v>
      </c>
      <c r="T158" s="386">
        <f t="shared" si="6"/>
        <v>240000</v>
      </c>
      <c r="U158" s="456"/>
    </row>
    <row r="159" spans="1:21" ht="75">
      <c r="A159" s="444">
        <f t="shared" si="7"/>
        <v>146</v>
      </c>
      <c r="B159" s="445"/>
      <c r="C159" s="446"/>
      <c r="D159" s="446"/>
      <c r="E159" s="446"/>
      <c r="F159" s="446"/>
      <c r="G159" s="446"/>
      <c r="H159" s="446"/>
      <c r="I159" s="447" t="s">
        <v>1157</v>
      </c>
      <c r="J159" s="448" t="s">
        <v>1158</v>
      </c>
      <c r="K159" s="449" t="s">
        <v>901</v>
      </c>
      <c r="L159" s="450" t="s">
        <v>852</v>
      </c>
      <c r="M159" s="451">
        <v>420000</v>
      </c>
      <c r="N159" s="452">
        <f t="shared" si="5"/>
        <v>420000</v>
      </c>
      <c r="O159" s="453" t="s">
        <v>101</v>
      </c>
      <c r="P159" s="454">
        <v>0</v>
      </c>
      <c r="Q159" s="455">
        <v>0</v>
      </c>
      <c r="R159" s="386">
        <v>0</v>
      </c>
      <c r="S159" s="386">
        <v>0</v>
      </c>
      <c r="T159" s="386">
        <f t="shared" si="6"/>
        <v>420000</v>
      </c>
      <c r="U159" s="456"/>
    </row>
    <row r="160" spans="1:21" ht="45">
      <c r="A160" s="444">
        <f t="shared" si="7"/>
        <v>147</v>
      </c>
      <c r="B160" s="445"/>
      <c r="C160" s="446"/>
      <c r="D160" s="446"/>
      <c r="E160" s="446"/>
      <c r="F160" s="446"/>
      <c r="G160" s="446"/>
      <c r="H160" s="446"/>
      <c r="I160" s="447" t="s">
        <v>1159</v>
      </c>
      <c r="J160" s="448" t="s">
        <v>1160</v>
      </c>
      <c r="K160" s="449" t="s">
        <v>862</v>
      </c>
      <c r="L160" s="450" t="s">
        <v>852</v>
      </c>
      <c r="M160" s="451">
        <v>720000</v>
      </c>
      <c r="N160" s="452">
        <f t="shared" si="5"/>
        <v>720000</v>
      </c>
      <c r="O160" s="453" t="s">
        <v>101</v>
      </c>
      <c r="P160" s="454">
        <v>0</v>
      </c>
      <c r="Q160" s="455">
        <v>0</v>
      </c>
      <c r="R160" s="386">
        <v>0</v>
      </c>
      <c r="S160" s="386">
        <v>0</v>
      </c>
      <c r="T160" s="386">
        <f t="shared" si="6"/>
        <v>720000</v>
      </c>
      <c r="U160" s="456"/>
    </row>
    <row r="161" spans="1:21" ht="60">
      <c r="A161" s="444">
        <f t="shared" si="7"/>
        <v>148</v>
      </c>
      <c r="B161" s="445"/>
      <c r="C161" s="446"/>
      <c r="D161" s="446"/>
      <c r="E161" s="446"/>
      <c r="F161" s="446"/>
      <c r="G161" s="446"/>
      <c r="H161" s="446"/>
      <c r="I161" s="447" t="s">
        <v>1161</v>
      </c>
      <c r="J161" s="448" t="s">
        <v>1162</v>
      </c>
      <c r="K161" s="449" t="s">
        <v>862</v>
      </c>
      <c r="L161" s="450" t="s">
        <v>852</v>
      </c>
      <c r="M161" s="451">
        <v>128000</v>
      </c>
      <c r="N161" s="452">
        <f t="shared" si="5"/>
        <v>128000</v>
      </c>
      <c r="O161" s="453" t="s">
        <v>101</v>
      </c>
      <c r="P161" s="454">
        <v>0</v>
      </c>
      <c r="Q161" s="455">
        <v>0</v>
      </c>
      <c r="R161" s="386">
        <v>0</v>
      </c>
      <c r="S161" s="386">
        <v>0</v>
      </c>
      <c r="T161" s="386">
        <f t="shared" si="6"/>
        <v>128000</v>
      </c>
      <c r="U161" s="456"/>
    </row>
    <row r="162" spans="1:21" ht="60">
      <c r="A162" s="444">
        <f t="shared" si="7"/>
        <v>149</v>
      </c>
      <c r="B162" s="445"/>
      <c r="C162" s="446"/>
      <c r="D162" s="446"/>
      <c r="E162" s="446"/>
      <c r="F162" s="446"/>
      <c r="G162" s="446"/>
      <c r="H162" s="446"/>
      <c r="I162" s="447" t="s">
        <v>1163</v>
      </c>
      <c r="J162" s="448" t="s">
        <v>1164</v>
      </c>
      <c r="K162" s="449" t="s">
        <v>862</v>
      </c>
      <c r="L162" s="450" t="s">
        <v>852</v>
      </c>
      <c r="M162" s="451">
        <v>128000</v>
      </c>
      <c r="N162" s="452">
        <f>M162</f>
        <v>128000</v>
      </c>
      <c r="O162" s="453" t="s">
        <v>101</v>
      </c>
      <c r="P162" s="454">
        <v>0</v>
      </c>
      <c r="Q162" s="455">
        <v>0</v>
      </c>
      <c r="R162" s="386">
        <v>0</v>
      </c>
      <c r="S162" s="386">
        <v>0</v>
      </c>
      <c r="T162" s="386">
        <f t="shared" si="6"/>
        <v>128000</v>
      </c>
      <c r="U162" s="456"/>
    </row>
    <row r="163" spans="1:21" ht="45">
      <c r="A163" s="444">
        <f t="shared" si="7"/>
        <v>150</v>
      </c>
      <c r="B163" s="445"/>
      <c r="C163" s="446"/>
      <c r="D163" s="446"/>
      <c r="E163" s="446"/>
      <c r="F163" s="446"/>
      <c r="G163" s="446"/>
      <c r="H163" s="446"/>
      <c r="I163" s="447" t="s">
        <v>1165</v>
      </c>
      <c r="J163" s="448" t="s">
        <v>1166</v>
      </c>
      <c r="K163" s="449" t="s">
        <v>862</v>
      </c>
      <c r="L163" s="450" t="s">
        <v>852</v>
      </c>
      <c r="M163" s="451">
        <v>128000</v>
      </c>
      <c r="N163" s="452">
        <f>M163</f>
        <v>128000</v>
      </c>
      <c r="O163" s="453" t="s">
        <v>101</v>
      </c>
      <c r="P163" s="454">
        <v>0</v>
      </c>
      <c r="Q163" s="455">
        <v>0</v>
      </c>
      <c r="R163" s="386">
        <v>0</v>
      </c>
      <c r="S163" s="386">
        <v>0</v>
      </c>
      <c r="T163" s="386">
        <f t="shared" si="6"/>
        <v>128000</v>
      </c>
      <c r="U163" s="456"/>
    </row>
    <row r="164" spans="1:21" ht="60">
      <c r="A164" s="444">
        <f t="shared" si="7"/>
        <v>151</v>
      </c>
      <c r="B164" s="445"/>
      <c r="C164" s="446"/>
      <c r="D164" s="446"/>
      <c r="E164" s="446"/>
      <c r="F164" s="446"/>
      <c r="G164" s="446"/>
      <c r="H164" s="446"/>
      <c r="I164" s="447" t="s">
        <v>1167</v>
      </c>
      <c r="J164" s="448" t="s">
        <v>1168</v>
      </c>
      <c r="K164" s="449" t="s">
        <v>862</v>
      </c>
      <c r="L164" s="450" t="s">
        <v>852</v>
      </c>
      <c r="M164" s="451">
        <v>72000</v>
      </c>
      <c r="N164" s="452">
        <f t="shared" si="5"/>
        <v>72000</v>
      </c>
      <c r="O164" s="453" t="s">
        <v>101</v>
      </c>
      <c r="P164" s="454">
        <v>0</v>
      </c>
      <c r="Q164" s="455">
        <v>0</v>
      </c>
      <c r="R164" s="386">
        <v>0</v>
      </c>
      <c r="S164" s="386">
        <v>0</v>
      </c>
      <c r="T164" s="386">
        <f t="shared" si="6"/>
        <v>72000</v>
      </c>
      <c r="U164" s="456"/>
    </row>
    <row r="165" spans="1:21" ht="60">
      <c r="A165" s="444">
        <f t="shared" si="7"/>
        <v>152</v>
      </c>
      <c r="B165" s="445"/>
      <c r="C165" s="446"/>
      <c r="D165" s="446"/>
      <c r="E165" s="446"/>
      <c r="F165" s="446"/>
      <c r="G165" s="446"/>
      <c r="H165" s="446"/>
      <c r="I165" s="447" t="s">
        <v>1169</v>
      </c>
      <c r="J165" s="448" t="s">
        <v>1170</v>
      </c>
      <c r="K165" s="449" t="s">
        <v>862</v>
      </c>
      <c r="L165" s="450" t="s">
        <v>852</v>
      </c>
      <c r="M165" s="451">
        <v>72000</v>
      </c>
      <c r="N165" s="452">
        <f>M165</f>
        <v>72000</v>
      </c>
      <c r="O165" s="453" t="s">
        <v>101</v>
      </c>
      <c r="P165" s="454">
        <v>0</v>
      </c>
      <c r="Q165" s="455">
        <v>0</v>
      </c>
      <c r="R165" s="386">
        <v>0</v>
      </c>
      <c r="S165" s="386">
        <v>0</v>
      </c>
      <c r="T165" s="386">
        <f t="shared" si="6"/>
        <v>72000</v>
      </c>
      <c r="U165" s="456"/>
    </row>
    <row r="166" spans="1:21" ht="45">
      <c r="A166" s="444">
        <f t="shared" si="7"/>
        <v>153</v>
      </c>
      <c r="B166" s="445"/>
      <c r="C166" s="446"/>
      <c r="D166" s="446"/>
      <c r="E166" s="446"/>
      <c r="F166" s="446"/>
      <c r="G166" s="446"/>
      <c r="H166" s="446"/>
      <c r="I166" s="447" t="s">
        <v>1171</v>
      </c>
      <c r="J166" s="448" t="s">
        <v>1172</v>
      </c>
      <c r="K166" s="449" t="s">
        <v>862</v>
      </c>
      <c r="L166" s="450" t="s">
        <v>852</v>
      </c>
      <c r="M166" s="451">
        <v>72000</v>
      </c>
      <c r="N166" s="452">
        <f>M166</f>
        <v>72000</v>
      </c>
      <c r="O166" s="453" t="s">
        <v>101</v>
      </c>
      <c r="P166" s="454">
        <v>0</v>
      </c>
      <c r="Q166" s="455">
        <v>0</v>
      </c>
      <c r="R166" s="386">
        <v>0</v>
      </c>
      <c r="S166" s="386">
        <v>0</v>
      </c>
      <c r="T166" s="386">
        <f t="shared" si="6"/>
        <v>72000</v>
      </c>
      <c r="U166" s="456"/>
    </row>
    <row r="167" spans="1:21" ht="60">
      <c r="A167" s="444">
        <f t="shared" si="7"/>
        <v>154</v>
      </c>
      <c r="B167" s="445"/>
      <c r="C167" s="446"/>
      <c r="D167" s="446"/>
      <c r="E167" s="446"/>
      <c r="F167" s="446"/>
      <c r="G167" s="446"/>
      <c r="H167" s="446"/>
      <c r="I167" s="447" t="s">
        <v>1173</v>
      </c>
      <c r="J167" s="448" t="s">
        <v>1174</v>
      </c>
      <c r="K167" s="449" t="s">
        <v>862</v>
      </c>
      <c r="L167" s="450" t="s">
        <v>852</v>
      </c>
      <c r="M167" s="451">
        <v>72000</v>
      </c>
      <c r="N167" s="452">
        <f>M167</f>
        <v>72000</v>
      </c>
      <c r="O167" s="453" t="s">
        <v>101</v>
      </c>
      <c r="P167" s="454">
        <v>0</v>
      </c>
      <c r="Q167" s="455">
        <v>0</v>
      </c>
      <c r="R167" s="386">
        <v>0</v>
      </c>
      <c r="S167" s="386">
        <v>0</v>
      </c>
      <c r="T167" s="386">
        <f t="shared" si="6"/>
        <v>72000</v>
      </c>
      <c r="U167" s="456"/>
    </row>
    <row r="168" spans="1:21" ht="105">
      <c r="A168" s="444">
        <f t="shared" si="7"/>
        <v>155</v>
      </c>
      <c r="B168" s="445"/>
      <c r="C168" s="446"/>
      <c r="D168" s="446"/>
      <c r="E168" s="446"/>
      <c r="F168" s="446"/>
      <c r="G168" s="446"/>
      <c r="H168" s="446"/>
      <c r="I168" s="447" t="s">
        <v>1175</v>
      </c>
      <c r="J168" s="448" t="s">
        <v>1176</v>
      </c>
      <c r="K168" s="449" t="s">
        <v>862</v>
      </c>
      <c r="L168" s="450" t="s">
        <v>852</v>
      </c>
      <c r="M168" s="451">
        <v>100800</v>
      </c>
      <c r="N168" s="452">
        <f t="shared" si="5"/>
        <v>100800</v>
      </c>
      <c r="O168" s="453" t="s">
        <v>101</v>
      </c>
      <c r="P168" s="454">
        <v>0</v>
      </c>
      <c r="Q168" s="455">
        <v>0</v>
      </c>
      <c r="R168" s="386">
        <v>0</v>
      </c>
      <c r="S168" s="386">
        <v>0</v>
      </c>
      <c r="T168" s="386">
        <f t="shared" si="6"/>
        <v>100800</v>
      </c>
      <c r="U168" s="456"/>
    </row>
    <row r="169" spans="1:21" ht="105">
      <c r="A169" s="444">
        <f t="shared" si="7"/>
        <v>156</v>
      </c>
      <c r="B169" s="445"/>
      <c r="C169" s="446"/>
      <c r="D169" s="446"/>
      <c r="E169" s="446"/>
      <c r="F169" s="446"/>
      <c r="G169" s="446"/>
      <c r="H169" s="446"/>
      <c r="I169" s="447" t="s">
        <v>1177</v>
      </c>
      <c r="J169" s="448" t="s">
        <v>1178</v>
      </c>
      <c r="K169" s="449" t="s">
        <v>862</v>
      </c>
      <c r="L169" s="450" t="s">
        <v>852</v>
      </c>
      <c r="M169" s="451">
        <v>100800</v>
      </c>
      <c r="N169" s="452">
        <f>M169</f>
        <v>100800</v>
      </c>
      <c r="O169" s="453" t="s">
        <v>101</v>
      </c>
      <c r="P169" s="454">
        <v>0</v>
      </c>
      <c r="Q169" s="455">
        <v>0</v>
      </c>
      <c r="R169" s="386">
        <v>0</v>
      </c>
      <c r="S169" s="386">
        <v>0</v>
      </c>
      <c r="T169" s="386">
        <f t="shared" si="6"/>
        <v>100800</v>
      </c>
      <c r="U169" s="456"/>
    </row>
    <row r="170" spans="1:21" ht="105">
      <c r="A170" s="444">
        <f t="shared" si="7"/>
        <v>157</v>
      </c>
      <c r="B170" s="445"/>
      <c r="C170" s="446"/>
      <c r="D170" s="446"/>
      <c r="E170" s="446"/>
      <c r="F170" s="446"/>
      <c r="G170" s="446"/>
      <c r="H170" s="446"/>
      <c r="I170" s="447" t="s">
        <v>1179</v>
      </c>
      <c r="J170" s="448" t="s">
        <v>1180</v>
      </c>
      <c r="K170" s="449" t="s">
        <v>862</v>
      </c>
      <c r="L170" s="450" t="s">
        <v>852</v>
      </c>
      <c r="M170" s="451">
        <v>100800</v>
      </c>
      <c r="N170" s="452">
        <f>M170</f>
        <v>100800</v>
      </c>
      <c r="O170" s="453" t="s">
        <v>101</v>
      </c>
      <c r="P170" s="454">
        <v>0</v>
      </c>
      <c r="Q170" s="455">
        <v>0</v>
      </c>
      <c r="R170" s="386">
        <v>0</v>
      </c>
      <c r="S170" s="386">
        <v>0</v>
      </c>
      <c r="T170" s="386">
        <f t="shared" si="6"/>
        <v>100800</v>
      </c>
      <c r="U170" s="456"/>
    </row>
    <row r="171" spans="1:21" ht="105">
      <c r="A171" s="444">
        <f t="shared" si="7"/>
        <v>158</v>
      </c>
      <c r="B171" s="445"/>
      <c r="C171" s="446"/>
      <c r="D171" s="446"/>
      <c r="E171" s="446"/>
      <c r="F171" s="446"/>
      <c r="G171" s="446"/>
      <c r="H171" s="446"/>
      <c r="I171" s="447" t="s">
        <v>1181</v>
      </c>
      <c r="J171" s="448" t="s">
        <v>1182</v>
      </c>
      <c r="K171" s="449" t="s">
        <v>862</v>
      </c>
      <c r="L171" s="450" t="s">
        <v>852</v>
      </c>
      <c r="M171" s="451">
        <v>100800</v>
      </c>
      <c r="N171" s="452">
        <f>M171</f>
        <v>100800</v>
      </c>
      <c r="O171" s="453" t="s">
        <v>101</v>
      </c>
      <c r="P171" s="454">
        <v>0</v>
      </c>
      <c r="Q171" s="455">
        <v>0</v>
      </c>
      <c r="R171" s="386">
        <v>0</v>
      </c>
      <c r="S171" s="386">
        <v>0</v>
      </c>
      <c r="T171" s="386">
        <f t="shared" si="6"/>
        <v>100800</v>
      </c>
      <c r="U171" s="456"/>
    </row>
    <row r="172" spans="1:21" ht="105">
      <c r="A172" s="444">
        <f t="shared" si="7"/>
        <v>159</v>
      </c>
      <c r="B172" s="445"/>
      <c r="C172" s="446"/>
      <c r="D172" s="446"/>
      <c r="E172" s="446"/>
      <c r="F172" s="446"/>
      <c r="G172" s="446"/>
      <c r="H172" s="446"/>
      <c r="I172" s="447" t="s">
        <v>1183</v>
      </c>
      <c r="J172" s="448" t="s">
        <v>1184</v>
      </c>
      <c r="K172" s="449" t="s">
        <v>862</v>
      </c>
      <c r="L172" s="450" t="s">
        <v>852</v>
      </c>
      <c r="M172" s="451">
        <v>161280</v>
      </c>
      <c r="N172" s="452">
        <f t="shared" si="5"/>
        <v>161280</v>
      </c>
      <c r="O172" s="453" t="s">
        <v>101</v>
      </c>
      <c r="P172" s="454">
        <v>0</v>
      </c>
      <c r="Q172" s="455">
        <v>0</v>
      </c>
      <c r="R172" s="386">
        <v>0</v>
      </c>
      <c r="S172" s="386">
        <v>0</v>
      </c>
      <c r="T172" s="386">
        <f t="shared" si="6"/>
        <v>161280</v>
      </c>
      <c r="U172" s="456"/>
    </row>
    <row r="173" spans="1:21" ht="105">
      <c r="A173" s="444">
        <f t="shared" si="7"/>
        <v>160</v>
      </c>
      <c r="B173" s="445"/>
      <c r="C173" s="446"/>
      <c r="D173" s="446"/>
      <c r="E173" s="446"/>
      <c r="F173" s="446"/>
      <c r="G173" s="446"/>
      <c r="H173" s="446"/>
      <c r="I173" s="447" t="s">
        <v>1185</v>
      </c>
      <c r="J173" s="448" t="s">
        <v>1186</v>
      </c>
      <c r="K173" s="449" t="s">
        <v>862</v>
      </c>
      <c r="L173" s="450" t="s">
        <v>852</v>
      </c>
      <c r="M173" s="451">
        <v>161280</v>
      </c>
      <c r="N173" s="452">
        <f t="shared" si="5"/>
        <v>161280</v>
      </c>
      <c r="O173" s="453" t="s">
        <v>101</v>
      </c>
      <c r="P173" s="454">
        <v>0</v>
      </c>
      <c r="Q173" s="455">
        <v>0</v>
      </c>
      <c r="R173" s="386">
        <v>0</v>
      </c>
      <c r="S173" s="386">
        <v>0</v>
      </c>
      <c r="T173" s="386">
        <f t="shared" si="6"/>
        <v>161280</v>
      </c>
      <c r="U173" s="456"/>
    </row>
    <row r="174" spans="1:21" ht="105">
      <c r="A174" s="444">
        <f t="shared" si="7"/>
        <v>161</v>
      </c>
      <c r="B174" s="445"/>
      <c r="C174" s="446"/>
      <c r="D174" s="446"/>
      <c r="E174" s="446"/>
      <c r="F174" s="446"/>
      <c r="G174" s="446"/>
      <c r="H174" s="446"/>
      <c r="I174" s="447" t="s">
        <v>1187</v>
      </c>
      <c r="J174" s="448" t="s">
        <v>1188</v>
      </c>
      <c r="K174" s="449" t="s">
        <v>862</v>
      </c>
      <c r="L174" s="450" t="s">
        <v>852</v>
      </c>
      <c r="M174" s="451">
        <v>161280</v>
      </c>
      <c r="N174" s="452">
        <f t="shared" si="5"/>
        <v>161280</v>
      </c>
      <c r="O174" s="453" t="s">
        <v>101</v>
      </c>
      <c r="P174" s="454">
        <v>0</v>
      </c>
      <c r="Q174" s="455">
        <v>0</v>
      </c>
      <c r="R174" s="386">
        <v>0</v>
      </c>
      <c r="S174" s="386">
        <v>0</v>
      </c>
      <c r="T174" s="386">
        <f t="shared" si="6"/>
        <v>161280</v>
      </c>
      <c r="U174" s="456"/>
    </row>
    <row r="175" spans="1:21" ht="105">
      <c r="A175" s="444">
        <f t="shared" si="7"/>
        <v>162</v>
      </c>
      <c r="B175" s="445"/>
      <c r="C175" s="446"/>
      <c r="D175" s="446"/>
      <c r="E175" s="446"/>
      <c r="F175" s="446"/>
      <c r="G175" s="446"/>
      <c r="H175" s="446"/>
      <c r="I175" s="447" t="s">
        <v>1189</v>
      </c>
      <c r="J175" s="448" t="s">
        <v>1190</v>
      </c>
      <c r="K175" s="449" t="s">
        <v>862</v>
      </c>
      <c r="L175" s="450" t="s">
        <v>852</v>
      </c>
      <c r="M175" s="451">
        <v>161280</v>
      </c>
      <c r="N175" s="452">
        <f t="shared" si="5"/>
        <v>161280</v>
      </c>
      <c r="O175" s="453" t="s">
        <v>101</v>
      </c>
      <c r="P175" s="454">
        <v>0</v>
      </c>
      <c r="Q175" s="455">
        <v>0</v>
      </c>
      <c r="R175" s="386">
        <v>0</v>
      </c>
      <c r="S175" s="386">
        <v>0</v>
      </c>
      <c r="T175" s="386">
        <f t="shared" si="6"/>
        <v>161280</v>
      </c>
      <c r="U175" s="456"/>
    </row>
    <row r="176" spans="1:21" ht="105">
      <c r="A176" s="444">
        <f t="shared" si="7"/>
        <v>163</v>
      </c>
      <c r="B176" s="445"/>
      <c r="C176" s="446"/>
      <c r="D176" s="446"/>
      <c r="E176" s="446"/>
      <c r="F176" s="446"/>
      <c r="G176" s="446"/>
      <c r="H176" s="446"/>
      <c r="I176" s="447" t="s">
        <v>1191</v>
      </c>
      <c r="J176" s="448" t="s">
        <v>1192</v>
      </c>
      <c r="K176" s="449" t="s">
        <v>862</v>
      </c>
      <c r="L176" s="450" t="s">
        <v>852</v>
      </c>
      <c r="M176" s="451">
        <v>161280</v>
      </c>
      <c r="N176" s="452">
        <f>M176</f>
        <v>161280</v>
      </c>
      <c r="O176" s="453" t="s">
        <v>101</v>
      </c>
      <c r="P176" s="454">
        <v>0</v>
      </c>
      <c r="Q176" s="455">
        <v>0</v>
      </c>
      <c r="R176" s="386">
        <v>0</v>
      </c>
      <c r="S176" s="386">
        <v>0</v>
      </c>
      <c r="T176" s="386">
        <f t="shared" si="6"/>
        <v>161280</v>
      </c>
      <c r="U176" s="456"/>
    </row>
    <row r="177" spans="1:21" ht="45">
      <c r="A177" s="444">
        <f t="shared" si="7"/>
        <v>164</v>
      </c>
      <c r="B177" s="445"/>
      <c r="C177" s="446"/>
      <c r="D177" s="446"/>
      <c r="E177" s="446"/>
      <c r="F177" s="446"/>
      <c r="G177" s="446"/>
      <c r="H177" s="446"/>
      <c r="I177" s="447" t="s">
        <v>1193</v>
      </c>
      <c r="J177" s="448" t="s">
        <v>1078</v>
      </c>
      <c r="K177" s="449" t="s">
        <v>851</v>
      </c>
      <c r="L177" s="450" t="s">
        <v>852</v>
      </c>
      <c r="M177" s="451">
        <v>3600000</v>
      </c>
      <c r="N177" s="452">
        <f t="shared" si="5"/>
        <v>3600000</v>
      </c>
      <c r="O177" s="453" t="s">
        <v>101</v>
      </c>
      <c r="P177" s="454">
        <v>0</v>
      </c>
      <c r="Q177" s="455">
        <v>0</v>
      </c>
      <c r="R177" s="386">
        <v>0</v>
      </c>
      <c r="S177" s="386">
        <v>0</v>
      </c>
      <c r="T177" s="386">
        <f t="shared" si="6"/>
        <v>3600000</v>
      </c>
      <c r="U177" s="456"/>
    </row>
    <row r="178" spans="1:21" ht="60">
      <c r="A178" s="444">
        <f t="shared" si="7"/>
        <v>165</v>
      </c>
      <c r="B178" s="445"/>
      <c r="C178" s="446"/>
      <c r="D178" s="446"/>
      <c r="E178" s="446"/>
      <c r="F178" s="446"/>
      <c r="G178" s="446"/>
      <c r="H178" s="446"/>
      <c r="I178" s="447" t="s">
        <v>1194</v>
      </c>
      <c r="J178" s="448" t="s">
        <v>1195</v>
      </c>
      <c r="K178" s="449" t="s">
        <v>901</v>
      </c>
      <c r="L178" s="450" t="s">
        <v>852</v>
      </c>
      <c r="M178" s="451">
        <v>60000</v>
      </c>
      <c r="N178" s="452">
        <f t="shared" si="5"/>
        <v>60000</v>
      </c>
      <c r="O178" s="453" t="s">
        <v>101</v>
      </c>
      <c r="P178" s="454">
        <v>0</v>
      </c>
      <c r="Q178" s="455">
        <v>0</v>
      </c>
      <c r="R178" s="386">
        <v>0</v>
      </c>
      <c r="S178" s="386">
        <v>0</v>
      </c>
      <c r="T178" s="386">
        <f t="shared" si="6"/>
        <v>60000</v>
      </c>
      <c r="U178" s="456"/>
    </row>
    <row r="179" spans="1:21" ht="45">
      <c r="A179" s="444">
        <f t="shared" si="7"/>
        <v>166</v>
      </c>
      <c r="B179" s="445"/>
      <c r="C179" s="446"/>
      <c r="D179" s="446"/>
      <c r="E179" s="446"/>
      <c r="F179" s="446"/>
      <c r="G179" s="446"/>
      <c r="H179" s="446"/>
      <c r="I179" s="447" t="s">
        <v>1196</v>
      </c>
      <c r="J179" s="448" t="s">
        <v>1078</v>
      </c>
      <c r="K179" s="449" t="s">
        <v>851</v>
      </c>
      <c r="L179" s="450" t="s">
        <v>852</v>
      </c>
      <c r="M179" s="451">
        <v>3360000</v>
      </c>
      <c r="N179" s="452">
        <f t="shared" si="5"/>
        <v>3360000</v>
      </c>
      <c r="O179" s="453" t="s">
        <v>101</v>
      </c>
      <c r="P179" s="454">
        <v>0</v>
      </c>
      <c r="Q179" s="455">
        <v>0</v>
      </c>
      <c r="R179" s="386">
        <v>0</v>
      </c>
      <c r="S179" s="386">
        <v>0</v>
      </c>
      <c r="T179" s="386">
        <f t="shared" si="6"/>
        <v>3360000</v>
      </c>
      <c r="U179" s="456"/>
    </row>
    <row r="180" spans="1:21" ht="45">
      <c r="A180" s="444">
        <f t="shared" si="7"/>
        <v>167</v>
      </c>
      <c r="B180" s="445"/>
      <c r="C180" s="446"/>
      <c r="D180" s="446"/>
      <c r="E180" s="446"/>
      <c r="F180" s="446"/>
      <c r="G180" s="446"/>
      <c r="H180" s="446"/>
      <c r="I180" s="447" t="s">
        <v>1197</v>
      </c>
      <c r="J180" s="448" t="s">
        <v>1198</v>
      </c>
      <c r="K180" s="449" t="s">
        <v>851</v>
      </c>
      <c r="L180" s="450" t="s">
        <v>852</v>
      </c>
      <c r="M180" s="451">
        <v>300000</v>
      </c>
      <c r="N180" s="452">
        <f t="shared" si="5"/>
        <v>300000</v>
      </c>
      <c r="O180" s="453" t="s">
        <v>101</v>
      </c>
      <c r="P180" s="454">
        <v>0</v>
      </c>
      <c r="Q180" s="455">
        <v>0</v>
      </c>
      <c r="R180" s="386">
        <v>0</v>
      </c>
      <c r="S180" s="386">
        <v>0</v>
      </c>
      <c r="T180" s="386">
        <f t="shared" si="6"/>
        <v>300000</v>
      </c>
      <c r="U180" s="456"/>
    </row>
    <row r="181" spans="1:21" ht="60">
      <c r="A181" s="444">
        <f t="shared" si="7"/>
        <v>168</v>
      </c>
      <c r="B181" s="445"/>
      <c r="C181" s="446"/>
      <c r="D181" s="446"/>
      <c r="E181" s="446"/>
      <c r="F181" s="446"/>
      <c r="G181" s="446"/>
      <c r="H181" s="446"/>
      <c r="I181" s="447" t="s">
        <v>1199</v>
      </c>
      <c r="J181" s="448" t="s">
        <v>1200</v>
      </c>
      <c r="K181" s="449" t="s">
        <v>862</v>
      </c>
      <c r="L181" s="450" t="s">
        <v>852</v>
      </c>
      <c r="M181" s="451">
        <v>59000</v>
      </c>
      <c r="N181" s="452">
        <f t="shared" si="5"/>
        <v>59000</v>
      </c>
      <c r="O181" s="453" t="s">
        <v>101</v>
      </c>
      <c r="P181" s="454">
        <v>0</v>
      </c>
      <c r="Q181" s="455">
        <v>0</v>
      </c>
      <c r="R181" s="386">
        <v>0</v>
      </c>
      <c r="S181" s="386">
        <v>0</v>
      </c>
      <c r="T181" s="386">
        <f t="shared" si="6"/>
        <v>59000</v>
      </c>
      <c r="U181" s="456"/>
    </row>
    <row r="182" spans="1:21" ht="45">
      <c r="A182" s="444">
        <f t="shared" si="7"/>
        <v>169</v>
      </c>
      <c r="B182" s="445"/>
      <c r="C182" s="446"/>
      <c r="D182" s="446"/>
      <c r="E182" s="446"/>
      <c r="F182" s="446"/>
      <c r="G182" s="446"/>
      <c r="H182" s="446"/>
      <c r="I182" s="447" t="s">
        <v>1201</v>
      </c>
      <c r="J182" s="448" t="s">
        <v>1202</v>
      </c>
      <c r="K182" s="449" t="s">
        <v>862</v>
      </c>
      <c r="L182" s="450" t="s">
        <v>852</v>
      </c>
      <c r="M182" s="451">
        <v>59000</v>
      </c>
      <c r="N182" s="452">
        <f t="shared" si="5"/>
        <v>59000</v>
      </c>
      <c r="O182" s="453" t="s">
        <v>101</v>
      </c>
      <c r="P182" s="454">
        <v>0</v>
      </c>
      <c r="Q182" s="455">
        <v>0</v>
      </c>
      <c r="R182" s="386">
        <v>0</v>
      </c>
      <c r="S182" s="386">
        <v>0</v>
      </c>
      <c r="T182" s="386">
        <f t="shared" si="6"/>
        <v>59000</v>
      </c>
      <c r="U182" s="456"/>
    </row>
    <row r="183" spans="1:21" ht="45">
      <c r="A183" s="444">
        <f t="shared" si="7"/>
        <v>170</v>
      </c>
      <c r="B183" s="445"/>
      <c r="C183" s="446"/>
      <c r="D183" s="446"/>
      <c r="E183" s="446"/>
      <c r="F183" s="446"/>
      <c r="G183" s="446"/>
      <c r="H183" s="446"/>
      <c r="I183" s="447" t="s">
        <v>1203</v>
      </c>
      <c r="J183" s="448" t="s">
        <v>1204</v>
      </c>
      <c r="K183" s="449" t="s">
        <v>862</v>
      </c>
      <c r="L183" s="450" t="s">
        <v>852</v>
      </c>
      <c r="M183" s="451">
        <v>59000</v>
      </c>
      <c r="N183" s="452">
        <f t="shared" si="5"/>
        <v>59000</v>
      </c>
      <c r="O183" s="453" t="s">
        <v>101</v>
      </c>
      <c r="P183" s="454">
        <v>0</v>
      </c>
      <c r="Q183" s="455">
        <v>0</v>
      </c>
      <c r="R183" s="386">
        <v>0</v>
      </c>
      <c r="S183" s="386">
        <v>0</v>
      </c>
      <c r="T183" s="386">
        <f t="shared" si="6"/>
        <v>59000</v>
      </c>
      <c r="U183" s="456"/>
    </row>
    <row r="184" spans="1:21" ht="60">
      <c r="A184" s="444">
        <f t="shared" si="7"/>
        <v>171</v>
      </c>
      <c r="B184" s="445"/>
      <c r="C184" s="446"/>
      <c r="D184" s="446"/>
      <c r="E184" s="446"/>
      <c r="F184" s="446"/>
      <c r="G184" s="446"/>
      <c r="H184" s="446"/>
      <c r="I184" s="447" t="s">
        <v>1205</v>
      </c>
      <c r="J184" s="448" t="s">
        <v>1206</v>
      </c>
      <c r="K184" s="449" t="s">
        <v>862</v>
      </c>
      <c r="L184" s="450" t="s">
        <v>852</v>
      </c>
      <c r="M184" s="451">
        <v>59000</v>
      </c>
      <c r="N184" s="452">
        <f t="shared" si="5"/>
        <v>59000</v>
      </c>
      <c r="O184" s="453" t="s">
        <v>101</v>
      </c>
      <c r="P184" s="454">
        <v>0</v>
      </c>
      <c r="Q184" s="455">
        <v>0</v>
      </c>
      <c r="R184" s="386">
        <v>0</v>
      </c>
      <c r="S184" s="386">
        <v>0</v>
      </c>
      <c r="T184" s="386">
        <f t="shared" si="6"/>
        <v>59000</v>
      </c>
      <c r="U184" s="456"/>
    </row>
    <row r="185" spans="1:21" ht="60">
      <c r="A185" s="444">
        <f t="shared" si="7"/>
        <v>172</v>
      </c>
      <c r="B185" s="445"/>
      <c r="C185" s="446"/>
      <c r="D185" s="446"/>
      <c r="E185" s="446"/>
      <c r="F185" s="446"/>
      <c r="G185" s="446"/>
      <c r="H185" s="446"/>
      <c r="I185" s="447" t="s">
        <v>1207</v>
      </c>
      <c r="J185" s="448" t="s">
        <v>1208</v>
      </c>
      <c r="K185" s="449" t="s">
        <v>862</v>
      </c>
      <c r="L185" s="450" t="s">
        <v>852</v>
      </c>
      <c r="M185" s="451">
        <v>59000</v>
      </c>
      <c r="N185" s="452">
        <f t="shared" si="5"/>
        <v>59000</v>
      </c>
      <c r="O185" s="453" t="s">
        <v>101</v>
      </c>
      <c r="P185" s="454">
        <v>0</v>
      </c>
      <c r="Q185" s="455">
        <v>0</v>
      </c>
      <c r="R185" s="386">
        <v>0</v>
      </c>
      <c r="S185" s="386">
        <v>0</v>
      </c>
      <c r="T185" s="386">
        <f t="shared" si="6"/>
        <v>59000</v>
      </c>
      <c r="U185" s="456"/>
    </row>
    <row r="186" spans="1:21" ht="45">
      <c r="A186" s="444">
        <f t="shared" si="7"/>
        <v>173</v>
      </c>
      <c r="B186" s="445"/>
      <c r="C186" s="446"/>
      <c r="D186" s="446"/>
      <c r="E186" s="446"/>
      <c r="F186" s="446"/>
      <c r="G186" s="446"/>
      <c r="H186" s="446"/>
      <c r="I186" s="447" t="s">
        <v>1209</v>
      </c>
      <c r="J186" s="448" t="s">
        <v>1210</v>
      </c>
      <c r="K186" s="449" t="s">
        <v>862</v>
      </c>
      <c r="L186" s="450" t="s">
        <v>852</v>
      </c>
      <c r="M186" s="451">
        <v>59000</v>
      </c>
      <c r="N186" s="452">
        <f t="shared" si="5"/>
        <v>59000</v>
      </c>
      <c r="O186" s="453" t="s">
        <v>101</v>
      </c>
      <c r="P186" s="454">
        <v>0</v>
      </c>
      <c r="Q186" s="455">
        <v>0</v>
      </c>
      <c r="R186" s="386">
        <v>0</v>
      </c>
      <c r="S186" s="386">
        <v>0</v>
      </c>
      <c r="T186" s="386">
        <f t="shared" si="6"/>
        <v>59000</v>
      </c>
      <c r="U186" s="456"/>
    </row>
    <row r="187" spans="1:21" ht="45">
      <c r="A187" s="444">
        <f t="shared" si="7"/>
        <v>174</v>
      </c>
      <c r="B187" s="445"/>
      <c r="C187" s="446"/>
      <c r="D187" s="446"/>
      <c r="E187" s="446"/>
      <c r="F187" s="446"/>
      <c r="G187" s="446"/>
      <c r="H187" s="446"/>
      <c r="I187" s="447" t="s">
        <v>1211</v>
      </c>
      <c r="J187" s="448" t="s">
        <v>1212</v>
      </c>
      <c r="K187" s="449" t="s">
        <v>862</v>
      </c>
      <c r="L187" s="450" t="s">
        <v>852</v>
      </c>
      <c r="M187" s="451">
        <v>59000</v>
      </c>
      <c r="N187" s="452">
        <f t="shared" si="5"/>
        <v>59000</v>
      </c>
      <c r="O187" s="453" t="s">
        <v>101</v>
      </c>
      <c r="P187" s="454">
        <v>0</v>
      </c>
      <c r="Q187" s="455">
        <v>0</v>
      </c>
      <c r="R187" s="386">
        <v>0</v>
      </c>
      <c r="S187" s="386">
        <v>0</v>
      </c>
      <c r="T187" s="386">
        <f t="shared" si="6"/>
        <v>59000</v>
      </c>
      <c r="U187" s="456"/>
    </row>
    <row r="188" spans="1:21" ht="75">
      <c r="A188" s="444">
        <f t="shared" si="7"/>
        <v>175</v>
      </c>
      <c r="B188" s="445"/>
      <c r="C188" s="446"/>
      <c r="D188" s="446"/>
      <c r="E188" s="446"/>
      <c r="F188" s="446"/>
      <c r="G188" s="446"/>
      <c r="H188" s="446"/>
      <c r="I188" s="447" t="s">
        <v>1213</v>
      </c>
      <c r="J188" s="448" t="s">
        <v>1214</v>
      </c>
      <c r="K188" s="449" t="s">
        <v>901</v>
      </c>
      <c r="L188" s="450" t="s">
        <v>852</v>
      </c>
      <c r="M188" s="451">
        <v>420000</v>
      </c>
      <c r="N188" s="452">
        <f t="shared" si="5"/>
        <v>420000</v>
      </c>
      <c r="O188" s="453" t="s">
        <v>101</v>
      </c>
      <c r="P188" s="454">
        <v>0</v>
      </c>
      <c r="Q188" s="455">
        <v>0</v>
      </c>
      <c r="R188" s="386">
        <v>0</v>
      </c>
      <c r="S188" s="386">
        <v>0</v>
      </c>
      <c r="T188" s="386">
        <f t="shared" si="6"/>
        <v>420000</v>
      </c>
      <c r="U188" s="456"/>
    </row>
    <row r="189" spans="1:21" ht="30">
      <c r="A189" s="444" t="s">
        <v>1215</v>
      </c>
      <c r="B189" s="445"/>
      <c r="C189" s="446"/>
      <c r="D189" s="446"/>
      <c r="E189" s="446"/>
      <c r="F189" s="446"/>
      <c r="G189" s="446"/>
      <c r="H189" s="446"/>
      <c r="I189" s="447"/>
      <c r="J189" s="448" t="s">
        <v>1216</v>
      </c>
      <c r="K189" s="449" t="s">
        <v>862</v>
      </c>
      <c r="L189" s="450" t="s">
        <v>852</v>
      </c>
      <c r="M189" s="451">
        <v>484288</v>
      </c>
      <c r="N189" s="452">
        <f t="shared" ref="N189" si="8">M189</f>
        <v>484288</v>
      </c>
      <c r="O189" s="453" t="s">
        <v>101</v>
      </c>
      <c r="P189" s="454">
        <v>0</v>
      </c>
      <c r="Q189" s="455">
        <v>0</v>
      </c>
      <c r="R189" s="386">
        <v>0</v>
      </c>
      <c r="S189" s="386">
        <v>0</v>
      </c>
      <c r="T189" s="386">
        <f t="shared" si="6"/>
        <v>484288</v>
      </c>
      <c r="U189" s="456"/>
    </row>
    <row r="190" spans="1:21" ht="21" thickBot="1">
      <c r="A190" s="569" t="s">
        <v>1217</v>
      </c>
      <c r="B190" s="570"/>
      <c r="C190" s="570"/>
      <c r="D190" s="570"/>
      <c r="E190" s="570"/>
      <c r="F190" s="570"/>
      <c r="G190" s="570"/>
      <c r="H190" s="570"/>
      <c r="I190" s="570"/>
      <c r="J190" s="570"/>
      <c r="K190" s="571"/>
      <c r="L190" s="457"/>
      <c r="M190" s="458">
        <f>SUM(M8:M189)</f>
        <v>50000000</v>
      </c>
      <c r="N190" s="458">
        <f>SUM(N8:N189)</f>
        <v>50000000</v>
      </c>
      <c r="O190" s="459"/>
      <c r="P190" s="460"/>
      <c r="Q190" s="461"/>
      <c r="R190" s="458">
        <f>SUM(R8:R189)</f>
        <v>0</v>
      </c>
      <c r="S190" s="458">
        <f>SUM(S8:S189)</f>
        <v>0</v>
      </c>
      <c r="T190" s="458">
        <f>SUM(T8:T189)</f>
        <v>50000000</v>
      </c>
      <c r="U190" s="462"/>
    </row>
  </sheetData>
  <mergeCells count="20">
    <mergeCell ref="J1:K1"/>
    <mergeCell ref="L1:L3"/>
    <mergeCell ref="M1:M3"/>
    <mergeCell ref="J2:K2"/>
    <mergeCell ref="A3:H3"/>
    <mergeCell ref="J3:K3"/>
    <mergeCell ref="U5:U7"/>
    <mergeCell ref="A190:K190"/>
    <mergeCell ref="O5:O7"/>
    <mergeCell ref="P5:P7"/>
    <mergeCell ref="Q5:Q7"/>
    <mergeCell ref="R5:R7"/>
    <mergeCell ref="S5:S7"/>
    <mergeCell ref="T5:T7"/>
    <mergeCell ref="I5:I7"/>
    <mergeCell ref="J5:J7"/>
    <mergeCell ref="K5:K7"/>
    <mergeCell ref="L5:L7"/>
    <mergeCell ref="M5:M7"/>
    <mergeCell ref="N5:N7"/>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D9" sqref="D9"/>
    </sheetView>
  </sheetViews>
  <sheetFormatPr defaultRowHeight="15"/>
  <cols>
    <col min="7" max="7" width="23.5703125" customWidth="1"/>
    <col min="8" max="8" width="13.28515625" customWidth="1"/>
    <col min="9" max="9" width="18.85546875" customWidth="1"/>
    <col min="10" max="10" width="14.28515625" customWidth="1"/>
    <col min="11" max="11" width="18.42578125" customWidth="1"/>
  </cols>
  <sheetData>
    <row r="1" spans="1:11" ht="18.75">
      <c r="A1" s="603" t="s">
        <v>805</v>
      </c>
      <c r="B1" s="603"/>
      <c r="C1" s="603"/>
      <c r="D1" s="603"/>
      <c r="E1" s="603"/>
      <c r="F1" s="603"/>
      <c r="G1" s="603"/>
      <c r="H1" s="603"/>
      <c r="I1" s="603"/>
      <c r="J1" s="603"/>
      <c r="K1" s="603"/>
    </row>
    <row r="2" spans="1:11" ht="58.5" customHeight="1">
      <c r="A2" s="604" t="s">
        <v>806</v>
      </c>
      <c r="B2" s="604"/>
      <c r="C2" s="604"/>
      <c r="D2" s="604"/>
      <c r="E2" s="604"/>
      <c r="F2" s="604"/>
      <c r="G2" s="604"/>
      <c r="H2" s="604"/>
      <c r="I2" s="604"/>
      <c r="J2" s="604"/>
      <c r="K2" s="604"/>
    </row>
    <row r="3" spans="1:11" ht="31.5">
      <c r="A3" s="605" t="s">
        <v>807</v>
      </c>
      <c r="B3" s="605"/>
      <c r="C3" s="605"/>
      <c r="D3" s="605"/>
      <c r="E3" s="605"/>
      <c r="F3" s="605"/>
      <c r="G3" s="381" t="s">
        <v>808</v>
      </c>
      <c r="H3" s="381" t="s">
        <v>809</v>
      </c>
      <c r="I3" s="381" t="s">
        <v>810</v>
      </c>
      <c r="J3" s="381" t="s">
        <v>811</v>
      </c>
      <c r="K3" s="381" t="s">
        <v>812</v>
      </c>
    </row>
    <row r="4" spans="1:11" ht="15.75">
      <c r="A4" s="602">
        <v>1</v>
      </c>
      <c r="B4" s="602"/>
      <c r="C4" s="382" t="s">
        <v>813</v>
      </c>
      <c r="D4" s="383"/>
      <c r="E4" s="382"/>
      <c r="F4" s="384"/>
      <c r="G4" s="384" t="s">
        <v>814</v>
      </c>
      <c r="H4" s="385"/>
      <c r="I4" s="386">
        <v>147775000</v>
      </c>
      <c r="J4" s="386"/>
      <c r="K4" s="387" t="s">
        <v>35</v>
      </c>
    </row>
    <row r="5" spans="1:11" ht="15.75">
      <c r="A5" s="606">
        <v>2</v>
      </c>
      <c r="B5" s="606"/>
      <c r="C5" s="388" t="s">
        <v>815</v>
      </c>
      <c r="D5" s="389"/>
      <c r="E5" s="388"/>
      <c r="F5" s="390"/>
      <c r="G5" s="390" t="s">
        <v>816</v>
      </c>
      <c r="H5" s="391"/>
      <c r="I5" s="391">
        <v>15000000</v>
      </c>
      <c r="J5" s="391"/>
      <c r="K5" s="392" t="s">
        <v>35</v>
      </c>
    </row>
    <row r="6" spans="1:11" ht="15.75">
      <c r="A6" s="602">
        <v>3</v>
      </c>
      <c r="B6" s="602"/>
      <c r="C6" s="382" t="s">
        <v>817</v>
      </c>
      <c r="D6" s="383"/>
      <c r="E6" s="382"/>
      <c r="F6" s="384"/>
      <c r="G6" s="384" t="s">
        <v>816</v>
      </c>
      <c r="H6" s="386"/>
      <c r="I6" s="386"/>
      <c r="J6" s="386">
        <v>24000000</v>
      </c>
      <c r="K6" s="387" t="s">
        <v>35</v>
      </c>
    </row>
  </sheetData>
  <mergeCells count="6">
    <mergeCell ref="A6:B6"/>
    <mergeCell ref="A1:K1"/>
    <mergeCell ref="A2:K2"/>
    <mergeCell ref="A3:F3"/>
    <mergeCell ref="A4:B4"/>
    <mergeCell ref="A5: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Cumulative 18-19 Totals</vt:lpstr>
      <vt:lpstr>DPS 18-19</vt:lpstr>
      <vt:lpstr>TMD 18-19</vt:lpstr>
      <vt:lpstr>TMD Sup.</vt:lpstr>
      <vt:lpstr>TPWD 18-19</vt:lpstr>
      <vt:lpstr>TDCJ 18-19</vt:lpstr>
      <vt:lpstr>TFC 18-19</vt:lpstr>
      <vt:lpstr>TxDOT 18-19</vt:lpstr>
      <vt:lpstr>TxDOT Space Needs</vt:lpstr>
      <vt:lpstr>TxDOT New Construction 18-19</vt:lpstr>
      <vt:lpstr>THC 18-19</vt:lpstr>
      <vt:lpstr>THC Sup.</vt:lpstr>
      <vt:lpstr>SPB 18-19</vt:lpstr>
      <vt:lpstr>DSHS 18-19</vt:lpstr>
      <vt:lpstr>HHSC 18-19 State Hospitals </vt:lpstr>
      <vt:lpstr>HHSC 18-19 SSLC</vt:lpstr>
      <vt:lpstr>JJD 18-19</vt:lpstr>
    </vt:vector>
  </TitlesOfParts>
  <Company>Texas Legislative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Leggett</dc:creator>
  <cp:lastModifiedBy>Adam Leggett</cp:lastModifiedBy>
  <cp:lastPrinted>2017-10-20T20:28:10Z</cp:lastPrinted>
  <dcterms:created xsi:type="dcterms:W3CDTF">2017-10-05T18:21:26Z</dcterms:created>
  <dcterms:modified xsi:type="dcterms:W3CDTF">2017-11-01T15:58:15Z</dcterms:modified>
</cp:coreProperties>
</file>